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32767" yWindow="32767" windowWidth="28800" windowHeight="12165" tabRatio="860" activeTab="0"/>
  </bookViews>
  <sheets>
    <sheet name="CONSTRUCCIÓ" sheetId="1" r:id="rId1"/>
    <sheet name="Auxiliar" sheetId="2" state="hidden" r:id="rId2"/>
  </sheets>
  <definedNames>
    <definedName name="_xlnm.Print_Titles" localSheetId="0">'CONSTRUCCIÓ'!$1:$4</definedName>
  </definedNames>
  <calcPr fullCalcOnLoad="1"/>
</workbook>
</file>

<file path=xl/sharedStrings.xml><?xml version="1.0" encoding="utf-8"?>
<sst xmlns="http://schemas.openxmlformats.org/spreadsheetml/2006/main" count="226" uniqueCount="154">
  <si>
    <t>CER</t>
  </si>
  <si>
    <t>CLA</t>
  </si>
  <si>
    <t>-</t>
  </si>
  <si>
    <t>€</t>
  </si>
  <si>
    <t>no</t>
  </si>
  <si>
    <t>si</t>
  </si>
  <si>
    <t>RESIDUS DE CONSTRUCCIÓ</t>
  </si>
  <si>
    <t>Formigó</t>
  </si>
  <si>
    <t>Material ceràmic</t>
  </si>
  <si>
    <t>Fusta</t>
  </si>
  <si>
    <t>Plàstic</t>
  </si>
  <si>
    <t>Envasos que contenen restes de substàncies perilloses o estan contaminats per elles</t>
  </si>
  <si>
    <t>Metalls</t>
  </si>
  <si>
    <t>Guix</t>
  </si>
  <si>
    <t>Residus Barrejats que NO contenen substàncies perilloses</t>
  </si>
  <si>
    <t>Pes                         Tn</t>
  </si>
  <si>
    <t>Paper i cartró</t>
  </si>
  <si>
    <t>Vidre</t>
  </si>
  <si>
    <t>Separació selectiva prevista pel residus?</t>
  </si>
  <si>
    <t>On es farà la gestió dels residus</t>
  </si>
  <si>
    <t>Obra</t>
  </si>
  <si>
    <t>Inst. Tractament</t>
  </si>
  <si>
    <t>Abocador</t>
  </si>
  <si>
    <t>sup construïda (m2)</t>
  </si>
  <si>
    <t>Avaluació i característiques dels residus</t>
  </si>
  <si>
    <t>Fase de fonamentació i estructures</t>
  </si>
  <si>
    <t>Fase de tancaments</t>
  </si>
  <si>
    <t>Fase d'acabats</t>
  </si>
  <si>
    <t>m3</t>
  </si>
  <si>
    <t>Tn</t>
  </si>
  <si>
    <t>Totals:</t>
  </si>
  <si>
    <t xml:space="preserve">Tipologia, classificació i totals de residus </t>
  </si>
  <si>
    <t>Tipologia de Residus</t>
  </si>
  <si>
    <t>Productor</t>
  </si>
  <si>
    <t>Gestor</t>
  </si>
  <si>
    <t>Codi del gestor</t>
  </si>
  <si>
    <t>Esponjament</t>
  </si>
  <si>
    <t>Pes</t>
  </si>
  <si>
    <t>Abocador/ Valoritzador</t>
  </si>
  <si>
    <t>€/m3</t>
  </si>
  <si>
    <t>€/Tn</t>
  </si>
  <si>
    <t>Total</t>
  </si>
  <si>
    <t>Km</t>
  </si>
  <si>
    <t>VALORACIÓ TOTAL:</t>
  </si>
  <si>
    <t>€/km</t>
  </si>
  <si>
    <t>RESIDUS GESTIONATS FORA DE LES INSTAL·LACIONS DE L'OBRA (si s'escau)</t>
  </si>
  <si>
    <t>desglossament per fases</t>
  </si>
  <si>
    <t>Posseïdor</t>
  </si>
  <si>
    <t>Adreça:</t>
  </si>
  <si>
    <t>Municipi/Comarca:</t>
  </si>
  <si>
    <t>Autor de l'Estudi de Gestió de Residus:</t>
  </si>
  <si>
    <t>Identificació de l'Obra:</t>
  </si>
  <si>
    <t>Tipus d'intervenció:</t>
  </si>
  <si>
    <t xml:space="preserve">                     Residus de construcció</t>
  </si>
  <si>
    <t xml:space="preserve">NOTA II : </t>
  </si>
  <si>
    <t>Separació selectiva RD105/08 i D89/10</t>
  </si>
  <si>
    <t>Volum real              m3</t>
  </si>
  <si>
    <t>Operacions de destria i recollida selectiva (€/m3 o €/tn)</t>
  </si>
  <si>
    <t>Volum real</t>
  </si>
  <si>
    <t>Classificació del residu</t>
  </si>
  <si>
    <t>SI</t>
  </si>
  <si>
    <t>NO</t>
  </si>
  <si>
    <t>Codificació, classificació i les vies de gestió del residus</t>
  </si>
  <si>
    <t>VAL ( R )</t>
  </si>
  <si>
    <t>ELIM     ( D )</t>
  </si>
  <si>
    <t>NP</t>
  </si>
  <si>
    <t>D5</t>
  </si>
  <si>
    <t>R5</t>
  </si>
  <si>
    <t>R5-R10</t>
  </si>
  <si>
    <t>D5-D9</t>
  </si>
  <si>
    <t>R4</t>
  </si>
  <si>
    <t>R1-R3</t>
  </si>
  <si>
    <t>P</t>
  </si>
  <si>
    <t>D5-D9-D10</t>
  </si>
  <si>
    <t>R3-R4-R5</t>
  </si>
  <si>
    <t xml:space="preserve">NOTA I : </t>
  </si>
  <si>
    <t>VALORACIÓ DE LES DESPESES DERIVADES DE LA GESTIÓ (formarà part del pressupost del projecte)</t>
  </si>
  <si>
    <t>Residus no perillosos</t>
  </si>
  <si>
    <t xml:space="preserve">P </t>
  </si>
  <si>
    <t>Residus perillosos</t>
  </si>
  <si>
    <t xml:space="preserve">DP </t>
  </si>
  <si>
    <t>Residus amb perillositat pend. de determinar</t>
  </si>
  <si>
    <t>Operacions d'eliminació del residu</t>
  </si>
  <si>
    <t>Vies de valorització dels residus</t>
  </si>
  <si>
    <t xml:space="preserve">D1 </t>
  </si>
  <si>
    <t>Dipòsit sobre el sòl o al seu interior (abocament)</t>
  </si>
  <si>
    <t>R1</t>
  </si>
  <si>
    <t>Utilització principal com a combustible o una altra forma de produir energia</t>
  </si>
  <si>
    <t xml:space="preserve">D2 </t>
  </si>
  <si>
    <t>Tractament al medi terrestre (ex. biodegradació)</t>
  </si>
  <si>
    <t>R2</t>
  </si>
  <si>
    <t>Recuperació o regeneració de dissolvents</t>
  </si>
  <si>
    <t xml:space="preserve">D3 </t>
  </si>
  <si>
    <t>Injecció en profunditat</t>
  </si>
  <si>
    <t>R3</t>
  </si>
  <si>
    <t>Reciclatge o recuperació de substàncies orgàniques que no s’utilitzen com a dissolvents</t>
  </si>
  <si>
    <t xml:space="preserve">D4 </t>
  </si>
  <si>
    <t xml:space="preserve">Embassament superficial </t>
  </si>
  <si>
    <t>(inclosos el compostatge i altres processos de transformació biològica)</t>
  </si>
  <si>
    <t>Dipòsit controlat en llocs esp. dissenyats</t>
  </si>
  <si>
    <t>Reciclatge o recuperació de metalls i de compostos metàl·lics</t>
  </si>
  <si>
    <t>D6</t>
  </si>
  <si>
    <t>Abocament al medi aquàtic, excepte al mar</t>
  </si>
  <si>
    <t>Reciclatge o recuperació d’altres matèries inorgàniques</t>
  </si>
  <si>
    <t xml:space="preserve">D7 </t>
  </si>
  <si>
    <t>Abocament al mar, incl. inserció al llit marí</t>
  </si>
  <si>
    <t>R6</t>
  </si>
  <si>
    <t>Regeneració d’àcids o de bases</t>
  </si>
  <si>
    <t xml:space="preserve">D8 </t>
  </si>
  <si>
    <t>Tractament biològic no especificat</t>
  </si>
  <si>
    <t>R7</t>
  </si>
  <si>
    <t>Valorització de components utilitzats per a reduir la contaminació</t>
  </si>
  <si>
    <t>D9</t>
  </si>
  <si>
    <t>Tractament fisicoquímic no especificat</t>
  </si>
  <si>
    <t>R8</t>
  </si>
  <si>
    <t>Valorització de components procedents de catalitzadors</t>
  </si>
  <si>
    <t xml:space="preserve">D10 </t>
  </si>
  <si>
    <t>Incineració a la terra</t>
  </si>
  <si>
    <t>R9</t>
  </si>
  <si>
    <t>Regeneració o un altre nou ús d’olis</t>
  </si>
  <si>
    <t xml:space="preserve">D11 </t>
  </si>
  <si>
    <t>Incineració al mar</t>
  </si>
  <si>
    <t>R10</t>
  </si>
  <si>
    <t>Tractament dels sòls que produeixi un benefici en l’agricultura o una millora ecològica d’aquests sòls</t>
  </si>
  <si>
    <t>D12</t>
  </si>
  <si>
    <t>Emmagatzematge permanent</t>
  </si>
  <si>
    <t>R11</t>
  </si>
  <si>
    <t>Utilització de residus obtinguts a partir de qualsevol de les operacions enumerades de R1 a R10</t>
  </si>
  <si>
    <t>D13</t>
  </si>
  <si>
    <t>Combinació o mescla prèvia (D1 a D12)</t>
  </si>
  <si>
    <t>R12</t>
  </si>
  <si>
    <t xml:space="preserve">Intercanvi de residus per sotmetre’ls a qualsevol de les operacions enumerades entre R 1 i R 11 i R14. </t>
  </si>
  <si>
    <t xml:space="preserve">D14 </t>
  </si>
  <si>
    <t>Reenvasat previ (D 1 a D 13)</t>
  </si>
  <si>
    <t>S’hi inclouen operacions prèvies a la valorització, inclòs el tractament previ, operacions com ara el desmuntatge,</t>
  </si>
  <si>
    <t>D15</t>
  </si>
  <si>
    <t>Emmagatzematge en espera (D 1 a D 14)</t>
  </si>
  <si>
    <t xml:space="preserve"> la classificació, la trituració, la compactació, la pel·letització, l’assecatge, la fragmentació, el condicionament, </t>
  </si>
  <si>
    <t>el reenvasament, la separació, la combinació o la mescla</t>
  </si>
  <si>
    <t>R13</t>
  </si>
  <si>
    <t>Emmagatzematge de residus en espera de qualsevol de les operacions enumerades de R1 a R 12 i R14</t>
  </si>
  <si>
    <t>(exclòs l’emmagatzematge temporal, en espera de recollida, al lloc on es va produir el residu).</t>
  </si>
  <si>
    <t>R14</t>
  </si>
  <si>
    <t>Preparació per a la reutilització</t>
  </si>
  <si>
    <t>R15</t>
  </si>
  <si>
    <t>Rebliment</t>
  </si>
  <si>
    <t>Els residus els quals contenen substàncies perilloses o han estat en contacte amb ells, s'hauran d'inventariar segons la taula model de residus perillosos</t>
  </si>
  <si>
    <t>La separació en fraccions de petris i no petris s'ha de portar a terme pel posseïdor dels residus de la construcció i demolició dins de l'obra en que es produeixin. La separació de la resta de fraccions s'ha de portar a terme preferentment pel posseïdor dins de la mateixa obra, i sinó fos possible, encomanar la separació en fraccions a un gestor de residus extern.</t>
  </si>
  <si>
    <t>Total dipòsit</t>
  </si>
  <si>
    <t>Import DIPÒSIT Gestor de residus                                                          Reial Decret 210/2018</t>
  </si>
  <si>
    <t>NOTA:</t>
  </si>
  <si>
    <t xml:space="preserve">Cal presentar davant de l'ajuntament, juntament amb la sol·licitud de la llicència d'obres, un document d'acceptació que sigui signat per un gestor de residus autoritzat, per tal de garantir la correcta destinació dels residus separats per tipus. En aquest document hi ha de constar el codi de gestor, el domicili de l'obra, i l'import rebut en concepte de dipòsit per a la posterior gestió. Aquest  dipòsit, té per objecte garantir que la gestió dels residus de la construcció i la demolició que siguin generats en una obra concreta per la persona productora, s'efectua d'acord amb la normativa vigent. 
La persona sol·licitant de la llicència, ha de presentar a l'ajuntament corresponent el certificat acreditatiu de la gestió dels residus referent a la quantitat i tipus de residus lliurats.
</t>
  </si>
  <si>
    <t>versió V3 2018</t>
  </si>
  <si>
    <t>Transport (unitat/m3)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</si>
</sst>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
    <numFmt numFmtId="172" formatCode="0.000000"/>
    <numFmt numFmtId="173" formatCode="#,##0.000"/>
    <numFmt numFmtId="174" formatCode="0.0000000"/>
  </numFmts>
  <fonts count="40">
    <font>
      <sz val="10"/>
      <name val="Arial"/>
      <family val="0"/>
    </font>
    <font>
      <sz val="8"/>
      <name val="Arial"/>
      <family val="2"/>
    </font>
    <font>
      <b/>
      <sz val="9"/>
      <name val="Arial"/>
      <family val="2"/>
    </font>
    <font>
      <sz val="9"/>
      <name val="Arial"/>
      <family val="2"/>
    </font>
    <font>
      <b/>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9"/>
      <color indexed="10"/>
      <name val="Arial"/>
      <family val="2"/>
    </font>
    <font>
      <b/>
      <sz val="8"/>
      <name val="Verdana"/>
      <family val="2"/>
    </font>
    <font>
      <sz val="8"/>
      <name val="Verdana"/>
      <family val="2"/>
    </font>
    <font>
      <b/>
      <sz val="9"/>
      <name val="Verdana"/>
      <family val="2"/>
    </font>
    <font>
      <b/>
      <u val="single"/>
      <sz val="8"/>
      <name val="Verdana"/>
      <family val="2"/>
    </font>
    <font>
      <sz val="7"/>
      <name val="Verdana"/>
      <family val="2"/>
    </font>
    <font>
      <sz val="9"/>
      <name val="Verdana"/>
      <family val="2"/>
    </font>
    <font>
      <b/>
      <sz val="11"/>
      <name val="Verdana"/>
      <family val="2"/>
    </font>
    <font>
      <sz val="9"/>
      <color indexed="9"/>
      <name val="Verdana"/>
      <family val="2"/>
    </font>
    <font>
      <sz val="10"/>
      <name val="Verdana"/>
      <family val="2"/>
    </font>
    <font>
      <sz val="10"/>
      <color indexed="9"/>
      <name val="Verdana"/>
      <family val="2"/>
    </font>
    <font>
      <b/>
      <sz val="10"/>
      <name val="Verdana"/>
      <family val="2"/>
    </font>
    <font>
      <sz val="8.5"/>
      <name val="Verdana"/>
      <family val="2"/>
    </font>
    <font>
      <sz val="8"/>
      <name val="Segoe U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medium"/>
    </border>
    <border>
      <left style="thin"/>
      <right style="thin"/>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medium"/>
    </border>
    <border>
      <left style="thin"/>
      <right style="thin"/>
      <top style="thin"/>
      <bottom>
        <color indexed="63"/>
      </bottom>
    </border>
    <border>
      <left style="thin"/>
      <right style="thin"/>
      <top style="medium"/>
      <bottom style="medium"/>
    </border>
    <border>
      <left style="medium"/>
      <right style="thin"/>
      <top style="thin"/>
      <bottom>
        <color indexed="63"/>
      </bottom>
    </border>
    <border>
      <left style="medium"/>
      <right style="thin"/>
      <top style="medium"/>
      <bottom style="medium"/>
    </border>
    <border>
      <left style="medium"/>
      <right style="thin"/>
      <top>
        <color indexed="63"/>
      </top>
      <bottom style="medium"/>
    </border>
    <border>
      <left style="thin"/>
      <right style="medium"/>
      <top style="thin"/>
      <bottom>
        <color indexed="63"/>
      </botto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color indexed="63"/>
      </right>
      <top style="medium"/>
      <bottom style="medium"/>
    </border>
    <border>
      <left style="thin"/>
      <right>
        <color indexed="63"/>
      </right>
      <top style="thin"/>
      <bottom style="thin"/>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color indexed="63"/>
      </right>
      <top>
        <color indexed="63"/>
      </top>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color indexed="63"/>
      </left>
      <right style="thin"/>
      <top style="medium"/>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2"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6"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2" fillId="0" borderId="8" applyNumberFormat="0" applyFill="0" applyAlignment="0" applyProtection="0"/>
    <xf numFmtId="0" fontId="24" fillId="0" borderId="9" applyNumberFormat="0" applyFill="0" applyAlignment="0" applyProtection="0"/>
  </cellStyleXfs>
  <cellXfs count="387">
    <xf numFmtId="0" fontId="0" fillId="0" borderId="0" xfId="0" applyAlignment="1">
      <alignment/>
    </xf>
    <xf numFmtId="0" fontId="2" fillId="0" borderId="0" xfId="0" applyFont="1" applyAlignment="1">
      <alignment horizontal="center" vertical="center" textRotation="255" wrapText="1"/>
    </xf>
    <xf numFmtId="0" fontId="3" fillId="0" borderId="0" xfId="0" applyFont="1" applyAlignment="1">
      <alignment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2" fillId="0" borderId="0" xfId="0" applyFont="1" applyAlignment="1">
      <alignment horizontal="left"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0" xfId="0" applyNumberFormat="1" applyFont="1" applyAlignment="1">
      <alignment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3" fillId="0" borderId="0" xfId="0" applyFont="1" applyBorder="1" applyAlignment="1">
      <alignment wrapText="1"/>
    </xf>
    <xf numFmtId="0" fontId="3" fillId="0" borderId="16" xfId="0" applyFont="1" applyBorder="1" applyAlignment="1">
      <alignment horizontal="center" vertical="center" wrapText="1"/>
    </xf>
    <xf numFmtId="1" fontId="3" fillId="0" borderId="21"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4" fontId="3" fillId="0" borderId="10" xfId="0" applyNumberFormat="1" applyFont="1" applyBorder="1" applyAlignment="1">
      <alignment vertical="center" wrapText="1"/>
    </xf>
    <xf numFmtId="4" fontId="3" fillId="0" borderId="26" xfId="0" applyNumberFormat="1" applyFont="1" applyBorder="1" applyAlignment="1">
      <alignment vertical="center" wrapText="1"/>
    </xf>
    <xf numFmtId="0" fontId="2"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wrapText="1"/>
    </xf>
    <xf numFmtId="4" fontId="3" fillId="0" borderId="18" xfId="0" applyNumberFormat="1" applyFont="1" applyBorder="1" applyAlignment="1">
      <alignment horizontal="center" vertical="center"/>
    </xf>
    <xf numFmtId="4" fontId="3" fillId="0" borderId="23" xfId="0" applyNumberFormat="1" applyFont="1" applyBorder="1" applyAlignment="1">
      <alignment horizontal="center" vertical="center"/>
    </xf>
    <xf numFmtId="4" fontId="3" fillId="0" borderId="12" xfId="0" applyNumberFormat="1" applyFont="1" applyBorder="1" applyAlignment="1">
      <alignment horizontal="center" vertic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4" fontId="3" fillId="0" borderId="20"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0" xfId="0" applyNumberFormat="1" applyFont="1" applyBorder="1" applyAlignment="1">
      <alignment horizontal="center" vertical="center"/>
    </xf>
    <xf numFmtId="4" fontId="3" fillId="0" borderId="22"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28" xfId="0" applyNumberFormat="1" applyFont="1" applyBorder="1" applyAlignment="1">
      <alignment horizontal="center" vertical="center"/>
    </xf>
    <xf numFmtId="4" fontId="3" fillId="0" borderId="33" xfId="0" applyNumberFormat="1" applyFont="1" applyBorder="1" applyAlignment="1">
      <alignment horizontal="center" vertical="center"/>
    </xf>
    <xf numFmtId="4" fontId="2" fillId="0" borderId="29" xfId="0" applyNumberFormat="1" applyFont="1" applyBorder="1" applyAlignment="1">
      <alignment horizontal="center" wrapText="1"/>
    </xf>
    <xf numFmtId="4" fontId="2" fillId="0" borderId="34" xfId="0" applyNumberFormat="1" applyFont="1" applyBorder="1" applyAlignment="1">
      <alignment horizontal="center" wrapText="1"/>
    </xf>
    <xf numFmtId="4" fontId="2" fillId="0" borderId="31" xfId="0" applyNumberFormat="1" applyFont="1" applyBorder="1" applyAlignment="1">
      <alignment horizontal="center" wrapText="1"/>
    </xf>
    <xf numFmtId="0" fontId="2" fillId="0" borderId="0" xfId="0" applyFont="1" applyBorder="1" applyAlignment="1">
      <alignment horizontal="center" vertical="center"/>
    </xf>
    <xf numFmtId="0" fontId="3" fillId="0" borderId="35" xfId="0" applyNumberFormat="1" applyFont="1" applyBorder="1" applyAlignment="1">
      <alignment vertical="center" wrapText="1"/>
    </xf>
    <xf numFmtId="0" fontId="3" fillId="0" borderId="17" xfId="0" applyFont="1" applyBorder="1" applyAlignment="1">
      <alignment vertical="center" wrapText="1"/>
    </xf>
    <xf numFmtId="0" fontId="3" fillId="0" borderId="30" xfId="0"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0" xfId="0" applyNumberFormat="1" applyFont="1" applyBorder="1" applyAlignment="1">
      <alignment vertical="center" wrapText="1"/>
    </xf>
    <xf numFmtId="0" fontId="3" fillId="0" borderId="35" xfId="0" applyFont="1" applyBorder="1" applyAlignment="1">
      <alignment horizontal="left" vertical="center" wrapText="1"/>
    </xf>
    <xf numFmtId="4" fontId="3" fillId="0" borderId="35" xfId="0" applyNumberFormat="1" applyFont="1" applyBorder="1" applyAlignment="1">
      <alignment horizontal="center" vertical="center"/>
    </xf>
    <xf numFmtId="0" fontId="3" fillId="0" borderId="35" xfId="0" applyNumberFormat="1" applyFont="1" applyBorder="1" applyAlignment="1">
      <alignment horizontal="center" vertical="center" wrapText="1"/>
    </xf>
    <xf numFmtId="4" fontId="3" fillId="0" borderId="14" xfId="0" applyNumberFormat="1" applyFont="1" applyBorder="1" applyAlignment="1">
      <alignment vertical="center" wrapText="1"/>
    </xf>
    <xf numFmtId="4" fontId="3" fillId="0" borderId="24" xfId="0" applyNumberFormat="1" applyFont="1" applyBorder="1" applyAlignment="1">
      <alignment vertical="center" wrapText="1"/>
    </xf>
    <xf numFmtId="4" fontId="3" fillId="0" borderId="15" xfId="0" applyNumberFormat="1" applyFont="1" applyBorder="1" applyAlignment="1">
      <alignment vertical="center" wrapText="1"/>
    </xf>
    <xf numFmtId="4" fontId="3" fillId="0" borderId="36" xfId="0" applyNumberFormat="1" applyFont="1" applyBorder="1" applyAlignment="1">
      <alignment vertical="center" wrapText="1"/>
    </xf>
    <xf numFmtId="4" fontId="3" fillId="0" borderId="13" xfId="0" applyNumberFormat="1" applyFont="1" applyBorder="1" applyAlignment="1">
      <alignment vertical="center" wrapText="1"/>
    </xf>
    <xf numFmtId="4" fontId="3" fillId="0" borderId="17"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35" xfId="0" applyFont="1" applyBorder="1" applyAlignment="1">
      <alignment horizontal="center"/>
    </xf>
    <xf numFmtId="4" fontId="3" fillId="0" borderId="35" xfId="0" applyNumberFormat="1" applyFont="1" applyBorder="1" applyAlignment="1">
      <alignment vertical="center"/>
    </xf>
    <xf numFmtId="0" fontId="3" fillId="0" borderId="37" xfId="0" applyFont="1" applyBorder="1" applyAlignment="1">
      <alignment wrapText="1"/>
    </xf>
    <xf numFmtId="0" fontId="3" fillId="0" borderId="38" xfId="0" applyFont="1" applyBorder="1" applyAlignment="1">
      <alignment wrapText="1"/>
    </xf>
    <xf numFmtId="0" fontId="3" fillId="0" borderId="39" xfId="0" applyFont="1" applyBorder="1" applyAlignment="1">
      <alignment wrapText="1"/>
    </xf>
    <xf numFmtId="0" fontId="3" fillId="0" borderId="25" xfId="0" applyFont="1" applyBorder="1" applyAlignment="1">
      <alignment wrapText="1"/>
    </xf>
    <xf numFmtId="0" fontId="3" fillId="0" borderId="40" xfId="0" applyFont="1" applyBorder="1" applyAlignment="1">
      <alignment wrapText="1"/>
    </xf>
    <xf numFmtId="0" fontId="2" fillId="0" borderId="41"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18" xfId="0" applyFont="1" applyBorder="1" applyAlignment="1">
      <alignment wrapText="1"/>
    </xf>
    <xf numFmtId="0" fontId="2" fillId="0" borderId="14" xfId="0" applyFont="1" applyBorder="1" applyAlignment="1">
      <alignment horizontal="left" wrapText="1"/>
    </xf>
    <xf numFmtId="0" fontId="3" fillId="0" borderId="44" xfId="0" applyFont="1" applyBorder="1" applyAlignment="1">
      <alignment horizontal="center" vertical="center" wrapText="1"/>
    </xf>
    <xf numFmtId="0" fontId="2" fillId="0" borderId="22"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wrapText="1"/>
    </xf>
    <xf numFmtId="172" fontId="0" fillId="0" borderId="0" xfId="0" applyNumberFormat="1" applyAlignment="1">
      <alignment/>
    </xf>
    <xf numFmtId="166" fontId="0" fillId="0" borderId="0" xfId="0" applyNumberFormat="1" applyAlignment="1">
      <alignment/>
    </xf>
    <xf numFmtId="173" fontId="0" fillId="0" borderId="0" xfId="0" applyNumberFormat="1" applyAlignment="1">
      <alignment/>
    </xf>
    <xf numFmtId="4" fontId="0" fillId="0" borderId="0" xfId="0" applyNumberFormat="1" applyAlignment="1">
      <alignment/>
    </xf>
    <xf numFmtId="172" fontId="0" fillId="4" borderId="0" xfId="0" applyNumberFormat="1" applyFill="1" applyAlignment="1">
      <alignment/>
    </xf>
    <xf numFmtId="0" fontId="3" fillId="0" borderId="33" xfId="0" applyNumberFormat="1" applyFont="1" applyBorder="1" applyAlignment="1">
      <alignment horizontal="center" vertical="center" wrapText="1"/>
    </xf>
    <xf numFmtId="0" fontId="3" fillId="0" borderId="0" xfId="0" applyFont="1" applyAlignment="1">
      <alignment horizontal="center" wrapText="1"/>
    </xf>
    <xf numFmtId="166" fontId="3" fillId="0" borderId="11" xfId="0" applyNumberFormat="1" applyFont="1" applyBorder="1" applyAlignment="1">
      <alignment horizontal="center" vertical="center" wrapText="1"/>
    </xf>
    <xf numFmtId="173" fontId="3" fillId="0" borderId="0" xfId="0" applyNumberFormat="1" applyFont="1" applyBorder="1" applyAlignment="1">
      <alignment horizontal="center" vertical="center" wrapText="1"/>
    </xf>
    <xf numFmtId="166" fontId="3" fillId="0" borderId="12" xfId="0" applyNumberFormat="1" applyFont="1" applyBorder="1" applyAlignment="1">
      <alignment horizontal="center" vertical="center" wrapText="1"/>
    </xf>
    <xf numFmtId="166" fontId="3" fillId="0" borderId="16" xfId="0" applyNumberFormat="1" applyFont="1" applyBorder="1" applyAlignment="1">
      <alignment horizontal="center" vertical="center" wrapText="1"/>
    </xf>
    <xf numFmtId="4" fontId="26" fillId="0" borderId="0" xfId="0" applyNumberFormat="1" applyFont="1" applyBorder="1" applyAlignment="1">
      <alignment horizontal="center" vertical="center" wrapText="1"/>
    </xf>
    <xf numFmtId="166" fontId="3" fillId="0" borderId="0" xfId="0" applyNumberFormat="1" applyFont="1" applyBorder="1" applyAlignment="1">
      <alignment horizontal="center" vertical="center" wrapText="1"/>
    </xf>
    <xf numFmtId="166" fontId="3" fillId="0" borderId="0" xfId="0" applyNumberFormat="1" applyFont="1" applyAlignment="1">
      <alignment/>
    </xf>
    <xf numFmtId="166" fontId="26" fillId="0" borderId="11" xfId="0" applyNumberFormat="1" applyFont="1" applyBorder="1" applyAlignment="1">
      <alignment horizontal="center" vertical="center" wrapText="1"/>
    </xf>
    <xf numFmtId="166" fontId="26" fillId="0" borderId="20" xfId="0" applyNumberFormat="1" applyFont="1" applyBorder="1" applyAlignment="1">
      <alignment horizontal="center" vertical="center" wrapText="1"/>
    </xf>
    <xf numFmtId="166" fontId="26" fillId="0" borderId="12" xfId="0" applyNumberFormat="1" applyFont="1" applyBorder="1" applyAlignment="1">
      <alignment horizontal="center" vertical="center" wrapText="1"/>
    </xf>
    <xf numFmtId="166" fontId="26" fillId="0" borderId="18" xfId="0" applyNumberFormat="1" applyFont="1" applyBorder="1" applyAlignment="1">
      <alignment horizontal="center" vertical="center" wrapText="1"/>
    </xf>
    <xf numFmtId="166" fontId="26" fillId="0" borderId="16" xfId="0" applyNumberFormat="1" applyFont="1" applyBorder="1" applyAlignment="1">
      <alignment horizontal="center" vertical="center" wrapText="1"/>
    </xf>
    <xf numFmtId="166" fontId="26" fillId="0" borderId="21" xfId="0" applyNumberFormat="1" applyFont="1" applyBorder="1" applyAlignment="1">
      <alignment horizontal="center" vertical="center" wrapText="1"/>
    </xf>
    <xf numFmtId="174" fontId="0" fillId="0" borderId="0" xfId="0" applyNumberFormat="1" applyAlignment="1">
      <alignment/>
    </xf>
    <xf numFmtId="174" fontId="3" fillId="0" borderId="20"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174" fontId="3" fillId="0" borderId="0" xfId="0" applyNumberFormat="1" applyFont="1" applyAlignment="1">
      <alignment/>
    </xf>
    <xf numFmtId="4" fontId="3" fillId="16" borderId="20" xfId="0" applyNumberFormat="1" applyFont="1" applyFill="1" applyBorder="1" applyAlignment="1" applyProtection="1">
      <alignment vertical="center" wrapText="1"/>
      <protection locked="0"/>
    </xf>
    <xf numFmtId="4" fontId="3" fillId="16" borderId="22" xfId="0" applyNumberFormat="1" applyFont="1" applyFill="1" applyBorder="1" applyAlignment="1" applyProtection="1">
      <alignment horizontal="center" vertical="center" wrapText="1"/>
      <protection locked="0"/>
    </xf>
    <xf numFmtId="4" fontId="3" fillId="16" borderId="18" xfId="0" applyNumberFormat="1" applyFont="1" applyFill="1" applyBorder="1" applyAlignment="1" applyProtection="1">
      <alignment vertical="center" wrapText="1"/>
      <protection locked="0"/>
    </xf>
    <xf numFmtId="4" fontId="3" fillId="16" borderId="23" xfId="0" applyNumberFormat="1" applyFont="1" applyFill="1" applyBorder="1" applyAlignment="1" applyProtection="1">
      <alignment horizontal="center" vertical="center" wrapText="1"/>
      <protection locked="0"/>
    </xf>
    <xf numFmtId="4" fontId="3" fillId="16" borderId="21" xfId="0" applyNumberFormat="1" applyFont="1" applyFill="1" applyBorder="1" applyAlignment="1" applyProtection="1">
      <alignment vertical="center" wrapText="1"/>
      <protection locked="0"/>
    </xf>
    <xf numFmtId="4" fontId="3" fillId="16" borderId="19" xfId="0" applyNumberFormat="1" applyFont="1" applyFill="1" applyBorder="1" applyAlignment="1" applyProtection="1">
      <alignment horizontal="center" vertical="center" wrapText="1"/>
      <protection locked="0"/>
    </xf>
    <xf numFmtId="0" fontId="25" fillId="0" borderId="0" xfId="0" applyFont="1" applyAlignment="1">
      <alignment horizontal="right"/>
    </xf>
    <xf numFmtId="0" fontId="25" fillId="0" borderId="0" xfId="0" applyFont="1" applyAlignment="1">
      <alignment/>
    </xf>
    <xf numFmtId="0" fontId="3" fillId="16" borderId="13" xfId="0" applyFont="1" applyFill="1" applyBorder="1" applyAlignment="1" applyProtection="1">
      <alignment horizontal="center" vertical="center"/>
      <protection locked="0"/>
    </xf>
    <xf numFmtId="0" fontId="3" fillId="16" borderId="20" xfId="0" applyFont="1" applyFill="1" applyBorder="1" applyAlignment="1" applyProtection="1">
      <alignment horizontal="center" vertical="center"/>
      <protection locked="0"/>
    </xf>
    <xf numFmtId="0" fontId="3" fillId="16" borderId="22" xfId="0" applyFont="1" applyFill="1" applyBorder="1" applyAlignment="1" applyProtection="1">
      <alignment horizontal="center" vertical="center"/>
      <protection locked="0"/>
    </xf>
    <xf numFmtId="0" fontId="3" fillId="16" borderId="14" xfId="0" applyFont="1" applyFill="1" applyBorder="1" applyAlignment="1" applyProtection="1">
      <alignment horizontal="center" vertical="center"/>
      <protection locked="0"/>
    </xf>
    <xf numFmtId="0" fontId="3" fillId="16" borderId="18" xfId="0" applyFont="1" applyFill="1" applyBorder="1" applyAlignment="1" applyProtection="1">
      <alignment horizontal="center" vertical="center"/>
      <protection locked="0"/>
    </xf>
    <xf numFmtId="0" fontId="3" fillId="16" borderId="23" xfId="0" applyFont="1" applyFill="1" applyBorder="1" applyAlignment="1" applyProtection="1">
      <alignment horizontal="center" vertical="center"/>
      <protection locked="0"/>
    </xf>
    <xf numFmtId="0" fontId="3" fillId="16" borderId="15" xfId="0" applyFont="1" applyFill="1" applyBorder="1" applyAlignment="1" applyProtection="1">
      <alignment horizontal="center" vertical="center"/>
      <protection locked="0"/>
    </xf>
    <xf numFmtId="0" fontId="3" fillId="16" borderId="21" xfId="0" applyFont="1" applyFill="1" applyBorder="1" applyAlignment="1" applyProtection="1">
      <alignment horizontal="center" vertical="center"/>
      <protection locked="0"/>
    </xf>
    <xf numFmtId="0" fontId="3" fillId="16" borderId="19" xfId="0" applyFont="1" applyFill="1" applyBorder="1" applyAlignment="1" applyProtection="1">
      <alignment horizontal="center" vertical="center"/>
      <protection locked="0"/>
    </xf>
    <xf numFmtId="10" fontId="3" fillId="16" borderId="19" xfId="0" applyNumberFormat="1" applyFont="1" applyFill="1" applyBorder="1" applyAlignment="1" applyProtection="1">
      <alignment horizontal="center" vertical="center"/>
      <protection locked="0"/>
    </xf>
    <xf numFmtId="4" fontId="3" fillId="16" borderId="13" xfId="0" applyNumberFormat="1" applyFont="1" applyFill="1" applyBorder="1" applyAlignment="1" applyProtection="1">
      <alignment vertical="center" wrapText="1"/>
      <protection locked="0"/>
    </xf>
    <xf numFmtId="4" fontId="3" fillId="16" borderId="14" xfId="0" applyNumberFormat="1" applyFont="1" applyFill="1" applyBorder="1" applyAlignment="1" applyProtection="1">
      <alignment vertical="center" wrapText="1"/>
      <protection locked="0"/>
    </xf>
    <xf numFmtId="4" fontId="3" fillId="16" borderId="15" xfId="0" applyNumberFormat="1" applyFont="1" applyFill="1" applyBorder="1" applyAlignment="1" applyProtection="1">
      <alignment vertical="center" wrapText="1"/>
      <protection locked="0"/>
    </xf>
    <xf numFmtId="0" fontId="3" fillId="16" borderId="28" xfId="0" applyFont="1" applyFill="1" applyBorder="1" applyAlignment="1" applyProtection="1">
      <alignment horizontal="center" vertical="center" wrapText="1"/>
      <protection locked="0"/>
    </xf>
    <xf numFmtId="0" fontId="3" fillId="16" borderId="45" xfId="0" applyFont="1" applyFill="1" applyBorder="1" applyAlignment="1" applyProtection="1">
      <alignment horizontal="center"/>
      <protection locked="0"/>
    </xf>
    <xf numFmtId="0" fontId="3" fillId="16" borderId="33" xfId="0" applyFont="1" applyFill="1" applyBorder="1" applyAlignment="1" applyProtection="1">
      <alignment horizontal="center" vertical="center" wrapText="1"/>
      <protection locked="0"/>
    </xf>
    <xf numFmtId="4" fontId="3" fillId="16" borderId="19" xfId="0" applyNumberFormat="1" applyFont="1" applyFill="1" applyBorder="1" applyAlignment="1" applyProtection="1">
      <alignment vertical="center" wrapText="1"/>
      <protection locked="0"/>
    </xf>
    <xf numFmtId="0" fontId="2" fillId="16" borderId="22" xfId="0" applyFont="1" applyFill="1" applyBorder="1" applyAlignment="1" applyProtection="1">
      <alignment horizontal="center" vertical="center" wrapText="1"/>
      <protection locked="0"/>
    </xf>
    <xf numFmtId="173" fontId="5" fillId="0" borderId="0" xfId="0" applyNumberFormat="1" applyFont="1" applyAlignment="1">
      <alignment/>
    </xf>
    <xf numFmtId="0" fontId="3" fillId="16" borderId="46" xfId="0" applyFont="1" applyFill="1" applyBorder="1" applyAlignment="1" applyProtection="1">
      <alignment horizontal="center" vertical="center"/>
      <protection locked="0"/>
    </xf>
    <xf numFmtId="0" fontId="3" fillId="16" borderId="47" xfId="0" applyFont="1" applyFill="1" applyBorder="1" applyAlignment="1" applyProtection="1">
      <alignment horizontal="center" vertical="center"/>
      <protection locked="0"/>
    </xf>
    <xf numFmtId="0" fontId="3" fillId="16" borderId="48" xfId="0" applyFont="1" applyFill="1" applyBorder="1" applyAlignment="1" applyProtection="1">
      <alignment horizontal="center" vertical="center"/>
      <protection locked="0"/>
    </xf>
    <xf numFmtId="0" fontId="27" fillId="0" borderId="0" xfId="0" applyFont="1" applyAlignment="1">
      <alignment horizontal="right" vertical="top" wrapText="1"/>
    </xf>
    <xf numFmtId="0" fontId="28" fillId="0" borderId="0" xfId="0" applyFont="1" applyAlignment="1">
      <alignment wrapText="1"/>
    </xf>
    <xf numFmtId="0" fontId="30" fillId="0" borderId="0" xfId="0" applyFont="1" applyAlignment="1">
      <alignment/>
    </xf>
    <xf numFmtId="0" fontId="28" fillId="0" borderId="0" xfId="0" applyFont="1" applyFill="1" applyAlignment="1">
      <alignment wrapText="1"/>
    </xf>
    <xf numFmtId="0" fontId="28" fillId="0" borderId="0" xfId="0" applyFont="1" applyAlignment="1">
      <alignment horizontal="right"/>
    </xf>
    <xf numFmtId="0" fontId="28" fillId="0" borderId="0" xfId="0" applyFont="1" applyAlignment="1">
      <alignment/>
    </xf>
    <xf numFmtId="0" fontId="28" fillId="0" borderId="0" xfId="0" applyFont="1" applyAlignment="1">
      <alignment horizontal="left"/>
    </xf>
    <xf numFmtId="0" fontId="30" fillId="0" borderId="0" xfId="0" applyFont="1" applyAlignment="1">
      <alignment horizontal="left"/>
    </xf>
    <xf numFmtId="0" fontId="28" fillId="0" borderId="0" xfId="0" applyFont="1" applyAlignment="1">
      <alignment horizontal="right" wrapText="1"/>
    </xf>
    <xf numFmtId="4" fontId="34" fillId="0" borderId="37" xfId="0" applyNumberFormat="1" applyFont="1" applyBorder="1" applyAlignment="1">
      <alignment vertical="center" wrapText="1"/>
    </xf>
    <xf numFmtId="0" fontId="36" fillId="0" borderId="49" xfId="0" applyFont="1" applyBorder="1" applyAlignment="1">
      <alignment vertical="center" wrapText="1"/>
    </xf>
    <xf numFmtId="0" fontId="36" fillId="0" borderId="43" xfId="0" applyFont="1" applyBorder="1" applyAlignment="1">
      <alignment vertical="center" wrapText="1"/>
    </xf>
    <xf numFmtId="0" fontId="29" fillId="0" borderId="0" xfId="0" applyFont="1" applyAlignment="1">
      <alignment vertical="top" wrapText="1"/>
    </xf>
    <xf numFmtId="0" fontId="38" fillId="0" borderId="0" xfId="0" applyFont="1" applyAlignment="1">
      <alignment vertical="top" wrapText="1"/>
    </xf>
    <xf numFmtId="0" fontId="2" fillId="0" borderId="15" xfId="0" applyFont="1" applyBorder="1" applyAlignment="1">
      <alignment horizontal="left" wrapText="1"/>
    </xf>
    <xf numFmtId="0" fontId="2" fillId="0" borderId="21" xfId="0" applyFont="1" applyBorder="1" applyAlignment="1">
      <alignment horizontal="left" wrapText="1"/>
    </xf>
    <xf numFmtId="0" fontId="2" fillId="16" borderId="21" xfId="0" applyFont="1" applyFill="1" applyBorder="1" applyAlignment="1" applyProtection="1">
      <alignment horizontal="center" wrapText="1"/>
      <protection locked="0"/>
    </xf>
    <xf numFmtId="4" fontId="3" fillId="0" borderId="14"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0" fontId="2" fillId="0" borderId="46" xfId="0" applyFont="1" applyBorder="1" applyAlignment="1">
      <alignment horizontal="center" vertical="center" wrapText="1"/>
    </xf>
    <xf numFmtId="0" fontId="2" fillId="0" borderId="10" xfId="0" applyFont="1" applyBorder="1" applyAlignment="1">
      <alignment horizontal="center" vertical="center" wrapText="1"/>
    </xf>
    <xf numFmtId="0" fontId="3" fillId="16" borderId="18" xfId="0" applyNumberFormat="1" applyFont="1" applyFill="1" applyBorder="1" applyAlignment="1" applyProtection="1">
      <alignment horizontal="left" vertical="center" wrapText="1"/>
      <protection locked="0"/>
    </xf>
    <xf numFmtId="4" fontId="2" fillId="0" borderId="29" xfId="0" applyNumberFormat="1" applyFont="1" applyBorder="1" applyAlignment="1">
      <alignment horizontal="center" wrapText="1"/>
    </xf>
    <xf numFmtId="4" fontId="2" fillId="0" borderId="50" xfId="0" applyNumberFormat="1" applyFont="1" applyBorder="1" applyAlignment="1">
      <alignment horizontal="center" wrapText="1"/>
    </xf>
    <xf numFmtId="4" fontId="3" fillId="0" borderId="51"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13" xfId="0" applyFont="1" applyBorder="1" applyAlignment="1">
      <alignment horizontal="left" wrapText="1"/>
    </xf>
    <xf numFmtId="0" fontId="2" fillId="0" borderId="20" xfId="0" applyFont="1" applyBorder="1" applyAlignment="1">
      <alignment horizontal="left" wrapText="1"/>
    </xf>
    <xf numFmtId="0" fontId="2" fillId="16" borderId="18" xfId="0" applyFont="1" applyFill="1" applyBorder="1" applyAlignment="1" applyProtection="1">
      <alignment horizontal="left" wrapText="1"/>
      <protection locked="0"/>
    </xf>
    <xf numFmtId="0" fontId="2" fillId="16" borderId="20" xfId="0" applyFont="1" applyFill="1" applyBorder="1" applyAlignment="1" applyProtection="1">
      <alignment horizontal="left" wrapText="1"/>
      <protection locked="0"/>
    </xf>
    <xf numFmtId="0" fontId="2" fillId="16" borderId="22" xfId="0" applyFont="1" applyFill="1" applyBorder="1" applyAlignment="1" applyProtection="1">
      <alignment horizontal="left" wrapText="1"/>
      <protection locked="0"/>
    </xf>
    <xf numFmtId="0" fontId="2" fillId="0" borderId="18" xfId="0" applyFont="1" applyBorder="1" applyAlignment="1">
      <alignment horizontal="left" wrapText="1"/>
    </xf>
    <xf numFmtId="0" fontId="2" fillId="16" borderId="23" xfId="0" applyFont="1" applyFill="1" applyBorder="1" applyAlignment="1" applyProtection="1">
      <alignment horizontal="left" wrapText="1"/>
      <protection locked="0"/>
    </xf>
    <xf numFmtId="0" fontId="2" fillId="0" borderId="27" xfId="0" applyFont="1" applyBorder="1" applyAlignment="1">
      <alignment horizontal="left" wrapText="1"/>
    </xf>
    <xf numFmtId="0" fontId="2" fillId="0" borderId="17" xfId="0" applyFont="1" applyBorder="1" applyAlignment="1">
      <alignment horizontal="left" wrapText="1"/>
    </xf>
    <xf numFmtId="0" fontId="2" fillId="0" borderId="16" xfId="0" applyFont="1" applyBorder="1" applyAlignment="1">
      <alignment horizontal="left" wrapText="1"/>
    </xf>
    <xf numFmtId="0" fontId="2" fillId="16" borderId="19" xfId="0" applyFont="1" applyFill="1" applyBorder="1" applyAlignment="1" applyProtection="1">
      <alignment horizontal="center" wrapText="1"/>
      <protection locked="0"/>
    </xf>
    <xf numFmtId="0" fontId="35" fillId="0" borderId="44" xfId="0" applyFont="1" applyBorder="1" applyAlignment="1">
      <alignment horizontal="left" vertical="center" wrapText="1"/>
    </xf>
    <xf numFmtId="0" fontId="35" fillId="0" borderId="52" xfId="0" applyFont="1" applyBorder="1" applyAlignment="1">
      <alignment horizontal="left" vertical="center" wrapText="1"/>
    </xf>
    <xf numFmtId="0" fontId="35" fillId="0" borderId="53" xfId="0" applyFont="1" applyBorder="1" applyAlignment="1">
      <alignment horizontal="right" vertical="center" wrapText="1"/>
    </xf>
    <xf numFmtId="0" fontId="35" fillId="0" borderId="54" xfId="0" applyFont="1" applyBorder="1" applyAlignment="1">
      <alignment horizontal="right" vertical="center" wrapText="1"/>
    </xf>
    <xf numFmtId="0" fontId="3" fillId="16" borderId="18" xfId="0" applyNumberFormat="1" applyFont="1" applyFill="1" applyBorder="1" applyAlignment="1" applyProtection="1">
      <alignment horizontal="left" vertical="center"/>
      <protection locked="0"/>
    </xf>
    <xf numFmtId="4" fontId="3" fillId="0" borderId="55" xfId="0" applyNumberFormat="1" applyFont="1" applyBorder="1" applyAlignment="1">
      <alignment horizontal="center"/>
    </xf>
    <xf numFmtId="4" fontId="3" fillId="0" borderId="56" xfId="0" applyNumberFormat="1" applyFont="1" applyBorder="1" applyAlignment="1">
      <alignment horizontal="center"/>
    </xf>
    <xf numFmtId="4" fontId="3" fillId="0" borderId="57" xfId="0" applyNumberFormat="1" applyFont="1" applyBorder="1" applyAlignment="1">
      <alignment horizontal="center"/>
    </xf>
    <xf numFmtId="4" fontId="3" fillId="0" borderId="14" xfId="0" applyNumberFormat="1" applyFont="1" applyBorder="1" applyAlignment="1">
      <alignment horizontal="center" vertical="center"/>
    </xf>
    <xf numFmtId="4" fontId="3" fillId="0" borderId="18" xfId="0" applyNumberFormat="1" applyFont="1" applyBorder="1" applyAlignment="1">
      <alignment horizontal="center" vertical="center"/>
    </xf>
    <xf numFmtId="4" fontId="3" fillId="0" borderId="23" xfId="0" applyNumberFormat="1" applyFont="1" applyBorder="1" applyAlignment="1">
      <alignment horizontal="center" vertical="center"/>
    </xf>
    <xf numFmtId="4" fontId="3" fillId="0" borderId="15" xfId="0" applyNumberFormat="1" applyFont="1" applyBorder="1" applyAlignment="1">
      <alignment horizontal="center" vertical="center"/>
    </xf>
    <xf numFmtId="4" fontId="3" fillId="0" borderId="21" xfId="0" applyNumberFormat="1" applyFont="1" applyBorder="1" applyAlignment="1">
      <alignment horizontal="center" vertical="center"/>
    </xf>
    <xf numFmtId="4" fontId="3" fillId="0" borderId="19" xfId="0" applyNumberFormat="1" applyFont="1" applyBorder="1" applyAlignment="1">
      <alignment horizontal="center" vertical="center"/>
    </xf>
    <xf numFmtId="0" fontId="3" fillId="0" borderId="28" xfId="0" applyFont="1" applyBorder="1" applyAlignment="1">
      <alignment horizontal="center" vertical="center" wrapText="1"/>
    </xf>
    <xf numFmtId="4" fontId="3" fillId="0" borderId="20" xfId="0" applyNumberFormat="1" applyFont="1" applyBorder="1" applyAlignment="1">
      <alignment horizontal="center"/>
    </xf>
    <xf numFmtId="4" fontId="3" fillId="0" borderId="22" xfId="0" applyNumberFormat="1" applyFont="1" applyBorder="1" applyAlignment="1">
      <alignment horizontal="center"/>
    </xf>
    <xf numFmtId="0" fontId="3" fillId="16" borderId="14" xfId="0" applyNumberFormat="1" applyFont="1" applyFill="1" applyBorder="1" applyAlignment="1" applyProtection="1">
      <alignment horizontal="left" vertical="center" wrapText="1"/>
      <protection locked="0"/>
    </xf>
    <xf numFmtId="0" fontId="3" fillId="16" borderId="13" xfId="0" applyNumberFormat="1" applyFont="1" applyFill="1" applyBorder="1" applyAlignment="1" applyProtection="1">
      <alignment horizontal="left" vertical="center" wrapText="1"/>
      <protection locked="0"/>
    </xf>
    <xf numFmtId="0" fontId="3" fillId="16" borderId="20" xfId="0" applyNumberFormat="1" applyFont="1" applyFill="1" applyBorder="1" applyAlignment="1" applyProtection="1">
      <alignment horizontal="left" vertical="center" wrapText="1"/>
      <protection locked="0"/>
    </xf>
    <xf numFmtId="0" fontId="3" fillId="16" borderId="20" xfId="0" applyNumberFormat="1" applyFont="1" applyFill="1" applyBorder="1" applyAlignment="1" applyProtection="1">
      <alignment horizontal="left" vertical="center"/>
      <protection locked="0"/>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1" xfId="0" applyFont="1" applyBorder="1" applyAlignment="1">
      <alignment horizontal="center"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4" fontId="3" fillId="0" borderId="13"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22" xfId="0" applyNumberFormat="1" applyFont="1" applyBorder="1" applyAlignment="1">
      <alignment horizontal="center" vertical="center" wrapText="1"/>
    </xf>
    <xf numFmtId="0" fontId="3" fillId="0" borderId="19" xfId="0" applyFont="1" applyBorder="1" applyAlignment="1">
      <alignment horizontal="center" vertical="center" wrapText="1"/>
    </xf>
    <xf numFmtId="4" fontId="3" fillId="0" borderId="58"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3" fillId="0" borderId="47" xfId="0" applyFont="1" applyBorder="1" applyAlignment="1">
      <alignment horizontal="left" vertical="center" wrapText="1"/>
    </xf>
    <xf numFmtId="0" fontId="3" fillId="0" borderId="26" xfId="0" applyFont="1" applyBorder="1" applyAlignment="1">
      <alignment horizontal="left" vertical="center" wrapText="1"/>
    </xf>
    <xf numFmtId="0" fontId="3" fillId="0" borderId="46" xfId="0" applyFont="1" applyBorder="1" applyAlignment="1">
      <alignment horizontal="left" vertical="center" wrapText="1"/>
    </xf>
    <xf numFmtId="0" fontId="3" fillId="0" borderId="10" xfId="0" applyFont="1" applyBorder="1" applyAlignment="1">
      <alignment horizontal="left" vertical="center" wrapText="1"/>
    </xf>
    <xf numFmtId="0" fontId="29" fillId="0" borderId="60" xfId="0" applyFont="1" applyBorder="1" applyAlignment="1">
      <alignment horizontal="center" vertical="center"/>
    </xf>
    <xf numFmtId="0" fontId="2" fillId="0" borderId="35" xfId="0" applyFont="1" applyBorder="1" applyAlignment="1">
      <alignment horizontal="center" vertical="center"/>
    </xf>
    <xf numFmtId="0" fontId="2" fillId="0" borderId="61" xfId="0" applyFont="1" applyBorder="1" applyAlignment="1">
      <alignment horizontal="center" vertical="center"/>
    </xf>
    <xf numFmtId="4" fontId="3" fillId="0" borderId="14" xfId="0" applyNumberFormat="1" applyFont="1" applyBorder="1" applyAlignment="1">
      <alignment horizontal="center"/>
    </xf>
    <xf numFmtId="4" fontId="3" fillId="0" borderId="18" xfId="0" applyNumberFormat="1" applyFont="1" applyBorder="1" applyAlignment="1">
      <alignment horizontal="center"/>
    </xf>
    <xf numFmtId="0" fontId="3" fillId="0" borderId="23" xfId="0" applyFont="1" applyBorder="1" applyAlignment="1">
      <alignment horizontal="left" vertical="center" wrapText="1"/>
    </xf>
    <xf numFmtId="0" fontId="2" fillId="0" borderId="36" xfId="0" applyFont="1" applyBorder="1" applyAlignment="1">
      <alignment horizontal="center" vertical="center"/>
    </xf>
    <xf numFmtId="0" fontId="2" fillId="0" borderId="62" xfId="0" applyFont="1" applyBorder="1" applyAlignment="1">
      <alignment horizontal="center" vertical="center"/>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4" fontId="3" fillId="0" borderId="15" xfId="0" applyNumberFormat="1" applyFont="1" applyBorder="1" applyAlignment="1">
      <alignment horizontal="center"/>
    </xf>
    <xf numFmtId="4" fontId="3" fillId="0" borderId="21" xfId="0" applyNumberFormat="1" applyFont="1" applyBorder="1" applyAlignment="1">
      <alignment horizontal="center"/>
    </xf>
    <xf numFmtId="4" fontId="3" fillId="0" borderId="19" xfId="0" applyNumberFormat="1" applyFont="1" applyBorder="1" applyAlignment="1">
      <alignment horizontal="center"/>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33" xfId="0" applyFont="1" applyBorder="1" applyAlignment="1">
      <alignment horizontal="left" vertical="center" wrapText="1"/>
    </xf>
    <xf numFmtId="4" fontId="3" fillId="0" borderId="55" xfId="0" applyNumberFormat="1" applyFont="1" applyBorder="1" applyAlignment="1">
      <alignment horizontal="center" vertical="center"/>
    </xf>
    <xf numFmtId="4" fontId="3" fillId="0" borderId="56" xfId="0" applyNumberFormat="1" applyFont="1" applyBorder="1" applyAlignment="1">
      <alignment horizontal="center" vertical="center"/>
    </xf>
    <xf numFmtId="4" fontId="3" fillId="0" borderId="63" xfId="0" applyNumberFormat="1" applyFont="1" applyBorder="1" applyAlignment="1">
      <alignment horizontal="center" vertical="center"/>
    </xf>
    <xf numFmtId="0" fontId="3" fillId="16" borderId="51" xfId="0" applyNumberFormat="1" applyFont="1" applyFill="1" applyBorder="1" applyAlignment="1" applyProtection="1">
      <alignment horizontal="center" vertical="center" wrapText="1"/>
      <protection locked="0"/>
    </xf>
    <xf numFmtId="0" fontId="3" fillId="16" borderId="26" xfId="0" applyNumberFormat="1" applyFont="1" applyFill="1" applyBorder="1" applyAlignment="1" applyProtection="1">
      <alignment horizontal="center" vertical="center" wrapText="1"/>
      <protection locked="0"/>
    </xf>
    <xf numFmtId="0" fontId="3" fillId="16" borderId="64" xfId="0" applyNumberFormat="1" applyFont="1" applyFill="1" applyBorder="1" applyAlignment="1" applyProtection="1">
      <alignment horizontal="center" vertical="center" wrapText="1"/>
      <protection locked="0"/>
    </xf>
    <xf numFmtId="0" fontId="3" fillId="0" borderId="32" xfId="0" applyFont="1" applyBorder="1" applyAlignment="1">
      <alignment horizontal="center" vertical="center" wrapText="1"/>
    </xf>
    <xf numFmtId="0" fontId="3" fillId="16" borderId="21" xfId="0" applyNumberFormat="1" applyFont="1" applyFill="1" applyBorder="1" applyAlignment="1" applyProtection="1">
      <alignment horizontal="left" vertical="center" wrapText="1"/>
      <protection locked="0"/>
    </xf>
    <xf numFmtId="4" fontId="3" fillId="0" borderId="13" xfId="0" applyNumberFormat="1" applyFont="1" applyBorder="1" applyAlignment="1">
      <alignment horizontal="center"/>
    </xf>
    <xf numFmtId="0" fontId="3" fillId="16" borderId="21" xfId="0" applyNumberFormat="1" applyFont="1" applyFill="1" applyBorder="1" applyAlignment="1" applyProtection="1">
      <alignment horizontal="left" vertical="center"/>
      <protection locked="0"/>
    </xf>
    <xf numFmtId="0" fontId="3" fillId="16" borderId="15" xfId="0" applyNumberFormat="1" applyFont="1" applyFill="1" applyBorder="1" applyAlignment="1" applyProtection="1">
      <alignment horizontal="left" vertical="center" wrapText="1"/>
      <protection locked="0"/>
    </xf>
    <xf numFmtId="0" fontId="2" fillId="0" borderId="65" xfId="0" applyNumberFormat="1" applyFont="1" applyBorder="1" applyAlignment="1">
      <alignment horizontal="left" vertical="center" wrapText="1"/>
    </xf>
    <xf numFmtId="0" fontId="2" fillId="0" borderId="66" xfId="0" applyNumberFormat="1" applyFont="1" applyBorder="1" applyAlignment="1">
      <alignment horizontal="left" vertical="center" wrapText="1"/>
    </xf>
    <xf numFmtId="0" fontId="2" fillId="0" borderId="66" xfId="0" applyNumberFormat="1" applyFont="1" applyBorder="1" applyAlignment="1">
      <alignment horizontal="left" vertical="center"/>
    </xf>
    <xf numFmtId="0" fontId="2" fillId="0" borderId="50"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2" fillId="0" borderId="61" xfId="0" applyNumberFormat="1" applyFont="1" applyBorder="1" applyAlignment="1">
      <alignment horizontal="center" vertical="center" wrapText="1"/>
    </xf>
    <xf numFmtId="0" fontId="32" fillId="0" borderId="0" xfId="0" applyFont="1" applyAlignment="1">
      <alignment horizontal="left" vertical="top" wrapText="1"/>
    </xf>
    <xf numFmtId="4" fontId="3" fillId="0" borderId="23"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3" fillId="0" borderId="33"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20" xfId="0" applyFont="1" applyBorder="1" applyAlignment="1">
      <alignment horizontal="left" vertical="center" wrapText="1"/>
    </xf>
    <xf numFmtId="0" fontId="3" fillId="0" borderId="58" xfId="0" applyFont="1" applyBorder="1" applyAlignment="1">
      <alignment horizontal="left" vertical="center" wrapText="1"/>
    </xf>
    <xf numFmtId="4" fontId="3" fillId="0" borderId="30" xfId="0" applyNumberFormat="1" applyFont="1" applyBorder="1" applyAlignment="1">
      <alignment horizontal="center" vertical="center" wrapText="1"/>
    </xf>
    <xf numFmtId="4" fontId="3" fillId="0" borderId="23" xfId="0" applyNumberFormat="1" applyFont="1" applyBorder="1" applyAlignment="1">
      <alignment horizontal="center"/>
    </xf>
    <xf numFmtId="0" fontId="2" fillId="0" borderId="31" xfId="0" applyFont="1" applyBorder="1" applyAlignment="1">
      <alignment horizontal="right" vertical="center"/>
    </xf>
    <xf numFmtId="0" fontId="2" fillId="0" borderId="29" xfId="0" applyFont="1" applyBorder="1" applyAlignment="1">
      <alignment horizontal="right" vertical="center"/>
    </xf>
    <xf numFmtId="0" fontId="2" fillId="0" borderId="34" xfId="0" applyFont="1" applyBorder="1" applyAlignment="1">
      <alignment horizontal="right" vertical="center"/>
    </xf>
    <xf numFmtId="4" fontId="2" fillId="0" borderId="34" xfId="0" applyNumberFormat="1" applyFont="1" applyBorder="1" applyAlignment="1">
      <alignment horizontal="center" wrapText="1"/>
    </xf>
    <xf numFmtId="4" fontId="2" fillId="0" borderId="31" xfId="0" applyNumberFormat="1" applyFont="1" applyBorder="1" applyAlignment="1">
      <alignment horizontal="center" wrapText="1"/>
    </xf>
    <xf numFmtId="0" fontId="3" fillId="0" borderId="48" xfId="0" applyFont="1" applyBorder="1" applyAlignment="1">
      <alignment horizontal="left" vertical="center" wrapText="1"/>
    </xf>
    <xf numFmtId="0" fontId="3" fillId="0" borderId="17" xfId="0" applyFont="1" applyBorder="1" applyAlignment="1">
      <alignment horizontal="left"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7" fillId="0" borderId="53" xfId="0" applyFont="1" applyBorder="1" applyAlignment="1">
      <alignment horizontal="left" vertical="center" wrapText="1"/>
    </xf>
    <xf numFmtId="0" fontId="37" fillId="0" borderId="24" xfId="0" applyFont="1" applyBorder="1" applyAlignment="1">
      <alignment horizontal="left" vertical="center" wrapText="1"/>
    </xf>
    <xf numFmtId="0" fontId="37" fillId="0" borderId="67" xfId="0" applyFont="1" applyBorder="1" applyAlignment="1">
      <alignment horizontal="left" vertical="center" wrapText="1"/>
    </xf>
    <xf numFmtId="0" fontId="37" fillId="0" borderId="54" xfId="0" applyFont="1" applyBorder="1" applyAlignment="1">
      <alignment horizontal="left" vertical="center" wrapText="1"/>
    </xf>
    <xf numFmtId="0" fontId="37" fillId="0" borderId="25" xfId="0" applyFont="1" applyBorder="1" applyAlignment="1">
      <alignment horizontal="left" vertical="center" wrapText="1"/>
    </xf>
    <xf numFmtId="0" fontId="37" fillId="0" borderId="40" xfId="0" applyFont="1" applyBorder="1" applyAlignment="1">
      <alignment horizontal="left" vertical="center" wrapText="1"/>
    </xf>
    <xf numFmtId="0" fontId="3" fillId="0" borderId="53" xfId="0" applyFont="1" applyBorder="1" applyAlignment="1">
      <alignment horizontal="center" vertical="center" wrapText="1"/>
    </xf>
    <xf numFmtId="4" fontId="3" fillId="0" borderId="21" xfId="0" applyNumberFormat="1" applyFont="1" applyBorder="1" applyAlignment="1">
      <alignment horizontal="center" vertical="center" wrapText="1"/>
    </xf>
    <xf numFmtId="4" fontId="3" fillId="0" borderId="27" xfId="0" applyNumberFormat="1" applyFont="1" applyBorder="1" applyAlignment="1">
      <alignment horizontal="center" vertical="center" wrapText="1"/>
    </xf>
    <xf numFmtId="4" fontId="3" fillId="0" borderId="60" xfId="0" applyNumberFormat="1" applyFont="1" applyBorder="1" applyAlignment="1">
      <alignment horizontal="center" vertical="center"/>
    </xf>
    <xf numFmtId="4" fontId="3" fillId="0" borderId="35" xfId="0" applyNumberFormat="1" applyFont="1" applyBorder="1" applyAlignment="1">
      <alignment horizontal="center" vertical="center"/>
    </xf>
    <xf numFmtId="4" fontId="3" fillId="0" borderId="61" xfId="0" applyNumberFormat="1" applyFont="1" applyBorder="1" applyAlignment="1">
      <alignment horizontal="center" vertical="center"/>
    </xf>
    <xf numFmtId="0" fontId="29" fillId="0" borderId="4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3" xfId="0" applyFont="1" applyBorder="1" applyAlignment="1">
      <alignment horizontal="center" vertical="center" wrapText="1"/>
    </xf>
    <xf numFmtId="4" fontId="37" fillId="0" borderId="24" xfId="0" applyNumberFormat="1" applyFont="1" applyBorder="1" applyAlignment="1">
      <alignment horizontal="center" vertical="center" wrapText="1"/>
    </xf>
    <xf numFmtId="4" fontId="37" fillId="0" borderId="44" xfId="0" applyNumberFormat="1" applyFont="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52" xfId="0" applyNumberFormat="1" applyFont="1" applyBorder="1" applyAlignment="1">
      <alignment horizontal="center" vertical="center" wrapText="1"/>
    </xf>
    <xf numFmtId="4" fontId="3" fillId="0" borderId="57" xfId="0" applyNumberFormat="1" applyFont="1" applyBorder="1" applyAlignment="1">
      <alignment horizontal="center" vertical="center"/>
    </xf>
    <xf numFmtId="0" fontId="33" fillId="0" borderId="41"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40"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0" xfId="0" applyFont="1" applyBorder="1" applyAlignment="1">
      <alignment horizontal="center" vertical="center" wrapText="1"/>
    </xf>
    <xf numFmtId="4" fontId="35" fillId="0" borderId="49" xfId="0" applyNumberFormat="1" applyFont="1" applyBorder="1" applyAlignment="1">
      <alignment horizontal="right" vertical="center" wrapText="1"/>
    </xf>
    <xf numFmtId="4" fontId="35" fillId="0" borderId="24" xfId="0" applyNumberFormat="1" applyFont="1" applyBorder="1" applyAlignment="1">
      <alignment horizontal="right" vertical="center" wrapText="1"/>
    </xf>
    <xf numFmtId="4" fontId="35" fillId="0" borderId="43" xfId="0" applyNumberFormat="1" applyFont="1" applyBorder="1" applyAlignment="1">
      <alignment horizontal="right" vertical="center" wrapText="1"/>
    </xf>
    <xf numFmtId="4" fontId="35" fillId="0" borderId="25" xfId="0" applyNumberFormat="1" applyFont="1" applyBorder="1" applyAlignment="1">
      <alignment horizontal="right" vertical="center" wrapText="1"/>
    </xf>
    <xf numFmtId="0" fontId="2" fillId="0" borderId="60" xfId="0" applyFont="1" applyBorder="1" applyAlignment="1">
      <alignment horizontal="right" vertical="center"/>
    </xf>
    <xf numFmtId="0" fontId="2" fillId="0" borderId="35" xfId="0" applyFont="1" applyBorder="1" applyAlignment="1">
      <alignment horizontal="right" vertical="center"/>
    </xf>
    <xf numFmtId="0" fontId="2" fillId="0" borderId="68" xfId="0" applyFont="1" applyBorder="1" applyAlignment="1">
      <alignment horizontal="right" vertical="center"/>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xf numFmtId="0" fontId="3" fillId="0" borderId="19" xfId="0" applyFont="1" applyBorder="1" applyAlignment="1">
      <alignment horizontal="left" vertical="center" wrapText="1"/>
    </xf>
    <xf numFmtId="0" fontId="3" fillId="16" borderId="63" xfId="0" applyNumberFormat="1" applyFont="1" applyFill="1" applyBorder="1" applyAlignment="1" applyProtection="1">
      <alignment horizontal="center" vertical="center" wrapText="1"/>
      <protection locked="0"/>
    </xf>
    <xf numFmtId="0" fontId="3" fillId="16" borderId="36" xfId="0" applyNumberFormat="1" applyFont="1" applyFill="1" applyBorder="1" applyAlignment="1" applyProtection="1">
      <alignment horizontal="center" vertical="center" wrapText="1"/>
      <protection locked="0"/>
    </xf>
    <xf numFmtId="0" fontId="3" fillId="16" borderId="62" xfId="0" applyNumberFormat="1" applyFont="1" applyFill="1" applyBorder="1" applyAlignment="1" applyProtection="1">
      <alignment horizontal="center" vertical="center" wrapText="1"/>
      <protection locked="0"/>
    </xf>
    <xf numFmtId="0" fontId="3" fillId="16" borderId="27" xfId="0" applyNumberFormat="1" applyFont="1" applyFill="1" applyBorder="1" applyAlignment="1" applyProtection="1">
      <alignment horizontal="center" vertical="center" wrapText="1"/>
      <protection locked="0"/>
    </xf>
    <xf numFmtId="0" fontId="3" fillId="16" borderId="17" xfId="0" applyNumberFormat="1" applyFont="1" applyFill="1" applyBorder="1" applyAlignment="1" applyProtection="1">
      <alignment horizontal="center" vertical="center" wrapText="1"/>
      <protection locked="0"/>
    </xf>
    <xf numFmtId="0" fontId="3" fillId="16" borderId="69" xfId="0" applyNumberFormat="1" applyFont="1" applyFill="1" applyBorder="1" applyAlignment="1" applyProtection="1">
      <alignment horizontal="center" vertical="center" wrapText="1"/>
      <protection locked="0"/>
    </xf>
    <xf numFmtId="0" fontId="3" fillId="0" borderId="22" xfId="0" applyFont="1" applyBorder="1" applyAlignment="1">
      <alignment horizontal="left" vertical="center" wrapText="1"/>
    </xf>
    <xf numFmtId="4" fontId="2" fillId="0" borderId="29" xfId="0" applyNumberFormat="1" applyFont="1" applyBorder="1" applyAlignment="1">
      <alignment horizontal="center" vertical="center"/>
    </xf>
    <xf numFmtId="4" fontId="2" fillId="0" borderId="34" xfId="0" applyNumberFormat="1" applyFont="1" applyBorder="1" applyAlignment="1">
      <alignment horizontal="center" vertical="center"/>
    </xf>
    <xf numFmtId="4" fontId="3" fillId="0" borderId="31" xfId="0" applyNumberFormat="1" applyFont="1" applyBorder="1" applyAlignment="1">
      <alignment horizontal="center" vertical="center"/>
    </xf>
    <xf numFmtId="4" fontId="3" fillId="0" borderId="29" xfId="0" applyNumberFormat="1" applyFont="1" applyBorder="1" applyAlignment="1">
      <alignment horizontal="center" vertical="center"/>
    </xf>
    <xf numFmtId="4" fontId="3" fillId="0" borderId="34" xfId="0" applyNumberFormat="1" applyFont="1" applyBorder="1" applyAlignment="1">
      <alignment horizontal="center" vertical="center"/>
    </xf>
    <xf numFmtId="0" fontId="31" fillId="0" borderId="25" xfId="0" applyFont="1" applyBorder="1" applyAlignment="1">
      <alignment horizontal="center" wrapText="1"/>
    </xf>
    <xf numFmtId="0" fontId="3" fillId="0" borderId="25" xfId="0" applyFont="1" applyBorder="1" applyAlignment="1">
      <alignment horizontal="center" wrapText="1"/>
    </xf>
    <xf numFmtId="0" fontId="2" fillId="0" borderId="60" xfId="0" applyNumberFormat="1" applyFont="1" applyBorder="1" applyAlignment="1">
      <alignment horizontal="center" vertical="center" wrapText="1"/>
    </xf>
    <xf numFmtId="0" fontId="3" fillId="0" borderId="31"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29" xfId="0" applyNumberFormat="1" applyFont="1" applyBorder="1" applyAlignment="1">
      <alignment horizontal="center" vertical="center" wrapText="1"/>
    </xf>
    <xf numFmtId="0" fontId="3" fillId="0" borderId="50"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527390809@27022009-1746"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3</xdr:col>
      <xdr:colOff>200025</xdr:colOff>
      <xdr:row>3</xdr:row>
      <xdr:rowOff>152400</xdr:rowOff>
    </xdr:to>
    <xdr:pic>
      <xdr:nvPicPr>
        <xdr:cNvPr id="1" name="Picture 1"/>
        <xdr:cNvPicPr preferRelativeResize="1">
          <a:picLocks noChangeAspect="1"/>
        </xdr:cNvPicPr>
      </xdr:nvPicPr>
      <xdr:blipFill>
        <a:blip r:link="rId1"/>
        <a:stretch>
          <a:fillRect/>
        </a:stretch>
      </xdr:blipFill>
      <xdr:spPr>
        <a:xfrm>
          <a:off x="133350" y="180975"/>
          <a:ext cx="20764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S106"/>
  <sheetViews>
    <sheetView showGridLines="0" showRowColHeaders="0" showZeros="0" tabSelected="1" showOutlineSymbols="0" workbookViewId="0" topLeftCell="A46">
      <selection activeCell="M65" sqref="M65"/>
    </sheetView>
  </sheetViews>
  <sheetFormatPr defaultColWidth="0" defaultRowHeight="12.75" zeroHeight="1"/>
  <cols>
    <col min="1" max="1" width="11.140625" style="1" customWidth="1"/>
    <col min="2" max="2" width="7.421875" style="2" customWidth="1"/>
    <col min="3" max="3" width="11.57421875" style="2" customWidth="1"/>
    <col min="4" max="4" width="6.8515625" style="2" customWidth="1"/>
    <col min="5" max="5" width="7.57421875" style="2" customWidth="1"/>
    <col min="6" max="7" width="11.28125" style="2" customWidth="1"/>
    <col min="8" max="8" width="11.57421875" style="2" customWidth="1"/>
    <col min="9" max="9" width="12.140625" style="2" customWidth="1"/>
    <col min="10" max="10" width="13.28125" style="2" customWidth="1"/>
    <col min="11" max="11" width="6.8515625" style="2" customWidth="1"/>
    <col min="12" max="12" width="11.7109375" style="3" hidden="1" customWidth="1"/>
    <col min="13" max="13" width="7.28125" style="3" customWidth="1"/>
    <col min="14" max="14" width="6.7109375" style="3" customWidth="1"/>
    <col min="15" max="15" width="7.140625" style="3" customWidth="1"/>
    <col min="16" max="16" width="10.57421875" style="3" customWidth="1"/>
    <col min="17" max="17" width="6.8515625" style="2" customWidth="1"/>
    <col min="18" max="18" width="6.57421875" style="2" customWidth="1"/>
    <col min="19" max="19" width="4.57421875" style="2" customWidth="1"/>
    <col min="20" max="16384" width="0" style="2" hidden="1" customWidth="1"/>
  </cols>
  <sheetData>
    <row r="1" spans="17:18" ht="12.75" thickBot="1">
      <c r="Q1" s="377" t="s">
        <v>152</v>
      </c>
      <c r="R1" s="378"/>
    </row>
    <row r="2" spans="1:18" ht="12.75" customHeight="1">
      <c r="A2" s="85"/>
      <c r="B2" s="80"/>
      <c r="C2" s="80"/>
      <c r="D2" s="81"/>
      <c r="E2" s="25"/>
      <c r="F2" s="182" t="s">
        <v>51</v>
      </c>
      <c r="G2" s="183"/>
      <c r="H2" s="185"/>
      <c r="I2" s="185"/>
      <c r="J2" s="185"/>
      <c r="K2" s="185"/>
      <c r="L2" s="185"/>
      <c r="M2" s="185"/>
      <c r="N2" s="185"/>
      <c r="O2" s="185"/>
      <c r="P2" s="185"/>
      <c r="Q2" s="185"/>
      <c r="R2" s="186"/>
    </row>
    <row r="3" spans="1:18" ht="12">
      <c r="A3" s="86"/>
      <c r="B3" s="25"/>
      <c r="C3" s="25"/>
      <c r="D3" s="82"/>
      <c r="E3" s="25"/>
      <c r="F3" s="89" t="s">
        <v>48</v>
      </c>
      <c r="G3" s="184"/>
      <c r="H3" s="184"/>
      <c r="I3" s="184"/>
      <c r="J3" s="187" t="s">
        <v>49</v>
      </c>
      <c r="K3" s="187"/>
      <c r="L3" s="88"/>
      <c r="M3" s="184"/>
      <c r="N3" s="184"/>
      <c r="O3" s="184"/>
      <c r="P3" s="184"/>
      <c r="Q3" s="184"/>
      <c r="R3" s="188"/>
    </row>
    <row r="4" spans="1:18" ht="13.5" customHeight="1" thickBot="1">
      <c r="A4" s="87"/>
      <c r="B4" s="83"/>
      <c r="C4" s="83"/>
      <c r="D4" s="84"/>
      <c r="E4" s="25"/>
      <c r="F4" s="163" t="s">
        <v>50</v>
      </c>
      <c r="G4" s="164"/>
      <c r="H4" s="164"/>
      <c r="I4" s="165"/>
      <c r="J4" s="165"/>
      <c r="K4" s="165"/>
      <c r="L4" s="165"/>
      <c r="M4" s="165"/>
      <c r="N4" s="189" t="s">
        <v>52</v>
      </c>
      <c r="O4" s="190"/>
      <c r="P4" s="191"/>
      <c r="Q4" s="165"/>
      <c r="R4" s="192"/>
    </row>
    <row r="5" ht="12.75" thickBot="1"/>
    <row r="6" spans="1:18" ht="34.5" customHeight="1">
      <c r="A6" s="214" t="s">
        <v>6</v>
      </c>
      <c r="B6" s="215"/>
      <c r="C6" s="251"/>
      <c r="D6" s="241" t="s">
        <v>55</v>
      </c>
      <c r="E6" s="232"/>
      <c r="F6" s="260" t="s">
        <v>18</v>
      </c>
      <c r="G6" s="230" t="s">
        <v>19</v>
      </c>
      <c r="H6" s="231"/>
      <c r="I6" s="232"/>
      <c r="J6" s="169" t="s">
        <v>24</v>
      </c>
      <c r="K6" s="169"/>
      <c r="L6" s="4"/>
      <c r="M6" s="230" t="s">
        <v>62</v>
      </c>
      <c r="N6" s="231"/>
      <c r="O6" s="231"/>
      <c r="P6" s="231"/>
      <c r="Q6" s="231"/>
      <c r="R6" s="232"/>
    </row>
    <row r="7" spans="1:18" ht="21" customHeight="1">
      <c r="A7" s="217"/>
      <c r="B7" s="218"/>
      <c r="C7" s="252"/>
      <c r="D7" s="243"/>
      <c r="E7" s="235"/>
      <c r="F7" s="261"/>
      <c r="G7" s="233" t="s">
        <v>20</v>
      </c>
      <c r="H7" s="234" t="s">
        <v>21</v>
      </c>
      <c r="I7" s="235" t="s">
        <v>22</v>
      </c>
      <c r="J7" s="247" t="s">
        <v>56</v>
      </c>
      <c r="K7" s="249" t="s">
        <v>15</v>
      </c>
      <c r="L7" s="28"/>
      <c r="M7" s="257" t="s">
        <v>0</v>
      </c>
      <c r="N7" s="228" t="s">
        <v>1</v>
      </c>
      <c r="O7" s="228" t="s">
        <v>64</v>
      </c>
      <c r="P7" s="228" t="s">
        <v>63</v>
      </c>
      <c r="Q7" s="228"/>
      <c r="R7" s="229"/>
    </row>
    <row r="8" spans="1:18" ht="12.75" customHeight="1" thickBot="1">
      <c r="A8" s="253" t="s">
        <v>23</v>
      </c>
      <c r="B8" s="254"/>
      <c r="C8" s="143"/>
      <c r="D8" s="26" t="s">
        <v>4</v>
      </c>
      <c r="E8" s="16" t="s">
        <v>5</v>
      </c>
      <c r="F8" s="262"/>
      <c r="G8" s="255"/>
      <c r="H8" s="256"/>
      <c r="I8" s="259"/>
      <c r="J8" s="248"/>
      <c r="K8" s="250"/>
      <c r="L8" s="29"/>
      <c r="M8" s="258"/>
      <c r="N8" s="236"/>
      <c r="O8" s="236"/>
      <c r="P8" s="236"/>
      <c r="Q8" s="236"/>
      <c r="R8" s="237"/>
    </row>
    <row r="9" spans="2:11" ht="5.25" customHeight="1" thickBot="1">
      <c r="B9" s="5"/>
      <c r="C9" s="5"/>
      <c r="D9" s="5"/>
      <c r="E9" s="5"/>
      <c r="F9" s="5"/>
      <c r="G9" s="5"/>
      <c r="H9" s="5"/>
      <c r="I9" s="5"/>
      <c r="J9" s="5"/>
      <c r="K9" s="5"/>
    </row>
    <row r="10" spans="1:18" ht="19.5" customHeight="1">
      <c r="A10" s="265" t="s">
        <v>7</v>
      </c>
      <c r="B10" s="266"/>
      <c r="C10" s="266"/>
      <c r="D10" s="19" t="str">
        <f>IF($C$8=0,"-",IF(K10&lt;80,"X","-"))</f>
        <v>-</v>
      </c>
      <c r="E10" s="20" t="str">
        <f>IF($C$8=0,"-",IF(K10&gt;=80,"X","-"))</f>
        <v>-</v>
      </c>
      <c r="F10" s="146"/>
      <c r="G10" s="127"/>
      <c r="H10" s="128"/>
      <c r="I10" s="129"/>
      <c r="J10" s="6">
        <f>$C$8*0.026047</f>
        <v>0</v>
      </c>
      <c r="K10" s="51">
        <f>$C$8*0.036464</f>
        <v>0</v>
      </c>
      <c r="L10" s="30"/>
      <c r="M10" s="8">
        <v>170101</v>
      </c>
      <c r="N10" s="17" t="s">
        <v>65</v>
      </c>
      <c r="O10" s="17" t="s">
        <v>66</v>
      </c>
      <c r="P10" s="245" t="s">
        <v>67</v>
      </c>
      <c r="Q10" s="245"/>
      <c r="R10" s="246"/>
    </row>
    <row r="11" spans="1:18" ht="19.5" customHeight="1">
      <c r="A11" s="263" t="s">
        <v>8</v>
      </c>
      <c r="B11" s="264"/>
      <c r="C11" s="264"/>
      <c r="D11" s="21" t="str">
        <f>IF($C$8=0,"-",IF(K11&lt;40,"X","-"))</f>
        <v>-</v>
      </c>
      <c r="E11" s="22" t="str">
        <f>IF($C$8=0,"-",IF(K11&gt;=40,"X","-"))</f>
        <v>-</v>
      </c>
      <c r="F11" s="147"/>
      <c r="G11" s="130"/>
      <c r="H11" s="131"/>
      <c r="I11" s="132"/>
      <c r="J11" s="7">
        <f>$C$8*0.0407004</f>
        <v>0</v>
      </c>
      <c r="K11" s="52">
        <f>$C$8*0.036634</f>
        <v>0</v>
      </c>
      <c r="L11" s="31"/>
      <c r="M11" s="9">
        <v>170103</v>
      </c>
      <c r="N11" s="14" t="s">
        <v>65</v>
      </c>
      <c r="O11" s="14" t="s">
        <v>66</v>
      </c>
      <c r="P11" s="228" t="s">
        <v>68</v>
      </c>
      <c r="Q11" s="228"/>
      <c r="R11" s="229"/>
    </row>
    <row r="12" spans="1:18" ht="24.75" customHeight="1">
      <c r="A12" s="263" t="s">
        <v>14</v>
      </c>
      <c r="B12" s="264"/>
      <c r="C12" s="264"/>
      <c r="D12" s="21" t="s">
        <v>2</v>
      </c>
      <c r="E12" s="22" t="s">
        <v>2</v>
      </c>
      <c r="F12" s="147"/>
      <c r="G12" s="130"/>
      <c r="H12" s="131"/>
      <c r="I12" s="132"/>
      <c r="J12" s="7">
        <f>$C$8*0.000778</f>
        <v>0</v>
      </c>
      <c r="K12" s="52">
        <f>$C$8*0.000314</f>
        <v>0</v>
      </c>
      <c r="L12" s="31"/>
      <c r="M12" s="9">
        <v>170904</v>
      </c>
      <c r="N12" s="14" t="s">
        <v>65</v>
      </c>
      <c r="O12" s="14" t="s">
        <v>69</v>
      </c>
      <c r="P12" s="228" t="s">
        <v>67</v>
      </c>
      <c r="Q12" s="228"/>
      <c r="R12" s="229"/>
    </row>
    <row r="13" spans="1:18" ht="19.5" customHeight="1">
      <c r="A13" s="263" t="s">
        <v>13</v>
      </c>
      <c r="B13" s="264"/>
      <c r="C13" s="264"/>
      <c r="D13" s="21" t="s">
        <v>2</v>
      </c>
      <c r="E13" s="22" t="s">
        <v>2</v>
      </c>
      <c r="F13" s="147"/>
      <c r="G13" s="130"/>
      <c r="H13" s="131"/>
      <c r="I13" s="132"/>
      <c r="J13" s="7">
        <f>$C$8*0.00972</f>
        <v>0</v>
      </c>
      <c r="K13" s="52">
        <f>$C$8*0.003927</f>
        <v>0</v>
      </c>
      <c r="L13" s="31"/>
      <c r="M13" s="9">
        <v>170802</v>
      </c>
      <c r="N13" s="14" t="s">
        <v>65</v>
      </c>
      <c r="O13" s="14" t="s">
        <v>66</v>
      </c>
      <c r="P13" s="228" t="s">
        <v>67</v>
      </c>
      <c r="Q13" s="228"/>
      <c r="R13" s="229"/>
    </row>
    <row r="14" spans="1:18" ht="19.5" customHeight="1">
      <c r="A14" s="263" t="s">
        <v>12</v>
      </c>
      <c r="B14" s="264"/>
      <c r="C14" s="264"/>
      <c r="D14" s="21" t="str">
        <f>IF($C$8=0,"-",IF(K14&lt;2,"X","-"))</f>
        <v>-</v>
      </c>
      <c r="E14" s="22" t="str">
        <f>IF($C$8=0,"-",IF(K14&gt;=2,"X","-"))</f>
        <v>-</v>
      </c>
      <c r="F14" s="147"/>
      <c r="G14" s="130"/>
      <c r="H14" s="131"/>
      <c r="I14" s="132"/>
      <c r="J14" s="7">
        <f>$C$8*0.001799</f>
        <v>0</v>
      </c>
      <c r="K14" s="52">
        <f>$C$8*0.000648</f>
        <v>0</v>
      </c>
      <c r="L14" s="31"/>
      <c r="M14" s="9">
        <v>170407</v>
      </c>
      <c r="N14" s="14" t="s">
        <v>65</v>
      </c>
      <c r="O14" s="14" t="s">
        <v>2</v>
      </c>
      <c r="P14" s="228" t="s">
        <v>70</v>
      </c>
      <c r="Q14" s="228"/>
      <c r="R14" s="229"/>
    </row>
    <row r="15" spans="1:18" ht="19.5" customHeight="1">
      <c r="A15" s="263" t="s">
        <v>9</v>
      </c>
      <c r="B15" s="264"/>
      <c r="C15" s="264"/>
      <c r="D15" s="21" t="str">
        <f>IF($C$8=0,"-",IF(K15&lt;1,"X","-"))</f>
        <v>-</v>
      </c>
      <c r="E15" s="22" t="str">
        <f>IF($C$8=0,"-",IF(K15&gt;=1,"X","-"))</f>
        <v>-</v>
      </c>
      <c r="F15" s="147"/>
      <c r="G15" s="130"/>
      <c r="H15" s="131"/>
      <c r="I15" s="132"/>
      <c r="J15" s="7">
        <f>$C$8*0.014487</f>
        <v>0</v>
      </c>
      <c r="K15" s="52">
        <f>$C$8*0.003622</f>
        <v>0</v>
      </c>
      <c r="L15" s="31"/>
      <c r="M15" s="9">
        <v>170201</v>
      </c>
      <c r="N15" s="14" t="s">
        <v>65</v>
      </c>
      <c r="O15" s="14" t="s">
        <v>2</v>
      </c>
      <c r="P15" s="228" t="s">
        <v>71</v>
      </c>
      <c r="Q15" s="228"/>
      <c r="R15" s="229"/>
    </row>
    <row r="16" spans="1:18" ht="19.5" customHeight="1">
      <c r="A16" s="263" t="s">
        <v>17</v>
      </c>
      <c r="B16" s="264"/>
      <c r="C16" s="264"/>
      <c r="D16" s="21" t="str">
        <f>IF($C$8=0,"-",IF(K16&lt;1,"X","-"))</f>
        <v>-</v>
      </c>
      <c r="E16" s="22" t="str">
        <f>IF($C$8=0,"-",IF(K16&gt;=1,"X","-"))</f>
        <v>-</v>
      </c>
      <c r="F16" s="147"/>
      <c r="G16" s="130"/>
      <c r="H16" s="131"/>
      <c r="I16" s="132"/>
      <c r="J16" s="7">
        <v>0</v>
      </c>
      <c r="K16" s="52">
        <v>0</v>
      </c>
      <c r="L16" s="31"/>
      <c r="M16" s="9">
        <v>170202</v>
      </c>
      <c r="N16" s="14" t="s">
        <v>65</v>
      </c>
      <c r="O16" s="14" t="s">
        <v>66</v>
      </c>
      <c r="P16" s="228" t="s">
        <v>67</v>
      </c>
      <c r="Q16" s="228"/>
      <c r="R16" s="229"/>
    </row>
    <row r="17" spans="1:18" ht="19.5" customHeight="1">
      <c r="A17" s="263" t="s">
        <v>10</v>
      </c>
      <c r="B17" s="264"/>
      <c r="C17" s="264"/>
      <c r="D17" s="21" t="str">
        <f>IF($C$8=0,"-",IF(K17&lt;0.5,"X","-"))</f>
        <v>-</v>
      </c>
      <c r="E17" s="22" t="str">
        <f>IF($C$8=0,"-",IF(K17&gt;=0.5,"X","-"))</f>
        <v>-</v>
      </c>
      <c r="F17" s="147"/>
      <c r="G17" s="130"/>
      <c r="H17" s="131"/>
      <c r="I17" s="132"/>
      <c r="J17" s="7">
        <f>$C$8*0.010354</f>
        <v>0</v>
      </c>
      <c r="K17" s="52">
        <f>$C$8*0.001584</f>
        <v>0</v>
      </c>
      <c r="L17" s="31"/>
      <c r="M17" s="9">
        <v>170203</v>
      </c>
      <c r="N17" s="14" t="s">
        <v>65</v>
      </c>
      <c r="O17" s="14" t="s">
        <v>66</v>
      </c>
      <c r="P17" s="228" t="s">
        <v>67</v>
      </c>
      <c r="Q17" s="228"/>
      <c r="R17" s="229"/>
    </row>
    <row r="18" spans="1:18" ht="19.5" customHeight="1">
      <c r="A18" s="263" t="s">
        <v>16</v>
      </c>
      <c r="B18" s="264"/>
      <c r="C18" s="264"/>
      <c r="D18" s="21" t="str">
        <f>IF($C$8=0,"-",IF(K18&lt;0.5,"X","-"))</f>
        <v>-</v>
      </c>
      <c r="E18" s="22" t="str">
        <f>IF($C$8=0,"-",IF(K18&gt;=0.5,"X","-"))</f>
        <v>-</v>
      </c>
      <c r="F18" s="147"/>
      <c r="G18" s="130"/>
      <c r="H18" s="131"/>
      <c r="I18" s="132"/>
      <c r="J18" s="7">
        <f>$C$8*0.011875</f>
        <v>0</v>
      </c>
      <c r="K18" s="52">
        <f>$C$8*0.000831</f>
        <v>0</v>
      </c>
      <c r="L18" s="31"/>
      <c r="M18" s="9">
        <v>150501</v>
      </c>
      <c r="N18" s="14" t="s">
        <v>65</v>
      </c>
      <c r="O18" s="14" t="s">
        <v>66</v>
      </c>
      <c r="P18" s="228" t="s">
        <v>71</v>
      </c>
      <c r="Q18" s="228"/>
      <c r="R18" s="229"/>
    </row>
    <row r="19" spans="1:18" ht="35.25" customHeight="1" thickBot="1">
      <c r="A19" s="315" t="s">
        <v>11</v>
      </c>
      <c r="B19" s="316"/>
      <c r="C19" s="316"/>
      <c r="D19" s="23" t="str">
        <f>IF($C$8=0,"-",IF(K19&lt;0.005,"X","-"))</f>
        <v>-</v>
      </c>
      <c r="E19" s="24" t="str">
        <f>IF($C$8=0,"-",IF(K19&gt;=0.005,"X","-"))</f>
        <v>-</v>
      </c>
      <c r="F19" s="148"/>
      <c r="G19" s="133"/>
      <c r="H19" s="134"/>
      <c r="I19" s="135"/>
      <c r="J19" s="11">
        <f>$C$8*0.002186</f>
        <v>0</v>
      </c>
      <c r="K19" s="53">
        <f>$C$8*0.00011</f>
        <v>0</v>
      </c>
      <c r="L19" s="13"/>
      <c r="M19" s="10">
        <v>150110</v>
      </c>
      <c r="N19" s="18" t="s">
        <v>72</v>
      </c>
      <c r="O19" s="27" t="s">
        <v>73</v>
      </c>
      <c r="P19" s="236" t="s">
        <v>74</v>
      </c>
      <c r="Q19" s="236"/>
      <c r="R19" s="237"/>
    </row>
    <row r="20" ht="12"/>
    <row r="21" ht="12.75" thickBot="1"/>
    <row r="22" spans="1:18" ht="19.5" customHeight="1">
      <c r="A22" s="214" t="s">
        <v>6</v>
      </c>
      <c r="B22" s="215"/>
      <c r="C22" s="216"/>
      <c r="D22" s="230" t="s">
        <v>31</v>
      </c>
      <c r="E22" s="231"/>
      <c r="F22" s="231"/>
      <c r="G22" s="232"/>
      <c r="H22" s="241" t="s">
        <v>25</v>
      </c>
      <c r="I22" s="242"/>
      <c r="J22" s="230" t="s">
        <v>26</v>
      </c>
      <c r="K22" s="231"/>
      <c r="L22" s="231"/>
      <c r="M22" s="242"/>
      <c r="N22" s="230" t="s">
        <v>27</v>
      </c>
      <c r="O22" s="231"/>
      <c r="P22" s="231"/>
      <c r="Q22" s="231"/>
      <c r="R22" s="232"/>
    </row>
    <row r="23" spans="1:18" ht="21.75" customHeight="1">
      <c r="A23" s="217"/>
      <c r="B23" s="218"/>
      <c r="C23" s="219"/>
      <c r="D23" s="233"/>
      <c r="E23" s="234"/>
      <c r="F23" s="234"/>
      <c r="G23" s="235"/>
      <c r="H23" s="243"/>
      <c r="I23" s="244"/>
      <c r="J23" s="233"/>
      <c r="K23" s="234"/>
      <c r="L23" s="234"/>
      <c r="M23" s="244"/>
      <c r="N23" s="233"/>
      <c r="O23" s="234"/>
      <c r="P23" s="234"/>
      <c r="Q23" s="234"/>
      <c r="R23" s="235"/>
    </row>
    <row r="24" spans="1:18" ht="12.75" customHeight="1" thickBot="1">
      <c r="A24" s="225" t="s">
        <v>46</v>
      </c>
      <c r="B24" s="226"/>
      <c r="C24" s="227"/>
      <c r="D24" s="10" t="s">
        <v>0</v>
      </c>
      <c r="E24" s="18" t="s">
        <v>1</v>
      </c>
      <c r="F24" s="35" t="s">
        <v>28</v>
      </c>
      <c r="G24" s="16" t="s">
        <v>29</v>
      </c>
      <c r="H24" s="26" t="s">
        <v>28</v>
      </c>
      <c r="I24" s="36" t="s">
        <v>29</v>
      </c>
      <c r="J24" s="15" t="s">
        <v>28</v>
      </c>
      <c r="K24" s="226" t="s">
        <v>29</v>
      </c>
      <c r="L24" s="226"/>
      <c r="M24" s="227"/>
      <c r="N24" s="225" t="s">
        <v>28</v>
      </c>
      <c r="O24" s="226"/>
      <c r="P24" s="226" t="s">
        <v>29</v>
      </c>
      <c r="Q24" s="226"/>
      <c r="R24" s="239"/>
    </row>
    <row r="25" spans="2:16" ht="3.75" customHeight="1" thickBot="1">
      <c r="B25" s="5"/>
      <c r="C25" s="5"/>
      <c r="D25" s="34"/>
      <c r="E25" s="34"/>
      <c r="F25" s="32"/>
      <c r="G25" s="32"/>
      <c r="H25" s="32"/>
      <c r="I25" s="32"/>
      <c r="J25" s="32"/>
      <c r="K25" s="32"/>
      <c r="L25" s="33"/>
      <c r="M25" s="33"/>
      <c r="N25" s="33"/>
      <c r="O25" s="33"/>
      <c r="P25" s="33"/>
    </row>
    <row r="26" spans="1:18" ht="19.5" customHeight="1">
      <c r="A26" s="305" t="s">
        <v>7</v>
      </c>
      <c r="B26" s="306"/>
      <c r="C26" s="307"/>
      <c r="D26" s="41">
        <f aca="true" t="shared" si="0" ref="D26:E31">M10</f>
        <v>170101</v>
      </c>
      <c r="E26" s="38" t="str">
        <f t="shared" si="0"/>
        <v>NP</v>
      </c>
      <c r="F26" s="54">
        <f aca="true" t="shared" si="1" ref="F26:G31">J10</f>
        <v>0</v>
      </c>
      <c r="G26" s="55">
        <f t="shared" si="1"/>
        <v>0</v>
      </c>
      <c r="H26" s="56">
        <f>C8*0.00381</f>
        <v>0</v>
      </c>
      <c r="I26" s="55">
        <f>C8*0.005333</f>
        <v>0</v>
      </c>
      <c r="J26" s="6">
        <f>C8*0.01091</f>
        <v>0</v>
      </c>
      <c r="K26" s="224">
        <f>C8*0.015274</f>
        <v>0</v>
      </c>
      <c r="L26" s="224"/>
      <c r="M26" s="240"/>
      <c r="N26" s="223">
        <f>C8*0.011327</f>
        <v>0</v>
      </c>
      <c r="O26" s="224"/>
      <c r="P26" s="224">
        <f>C8*0.015857</f>
        <v>0</v>
      </c>
      <c r="Q26" s="224"/>
      <c r="R26" s="238"/>
    </row>
    <row r="27" spans="1:18" ht="19.5" customHeight="1">
      <c r="A27" s="220" t="s">
        <v>8</v>
      </c>
      <c r="B27" s="221"/>
      <c r="C27" s="222"/>
      <c r="D27" s="42">
        <f t="shared" si="0"/>
        <v>170103</v>
      </c>
      <c r="E27" s="37" t="str">
        <f t="shared" si="0"/>
        <v>NP</v>
      </c>
      <c r="F27" s="46">
        <f t="shared" si="1"/>
        <v>0</v>
      </c>
      <c r="G27" s="47">
        <f t="shared" si="1"/>
        <v>0</v>
      </c>
      <c r="H27" s="48">
        <f>C8*0.000423</f>
        <v>0</v>
      </c>
      <c r="I27" s="47">
        <f>C8*0.000381</f>
        <v>0</v>
      </c>
      <c r="J27" s="7">
        <f>C8*0.03273</f>
        <v>0</v>
      </c>
      <c r="K27" s="167">
        <f>C8*0.0294457</f>
        <v>0</v>
      </c>
      <c r="L27" s="167"/>
      <c r="M27" s="173"/>
      <c r="N27" s="166">
        <f>C8*0.007551</f>
        <v>0</v>
      </c>
      <c r="O27" s="167"/>
      <c r="P27" s="167">
        <f>C8*0.006796</f>
        <v>0</v>
      </c>
      <c r="Q27" s="167"/>
      <c r="R27" s="302"/>
    </row>
    <row r="28" spans="1:18" ht="24.75" customHeight="1">
      <c r="A28" s="220" t="s">
        <v>14</v>
      </c>
      <c r="B28" s="221"/>
      <c r="C28" s="222"/>
      <c r="D28" s="42">
        <f t="shared" si="0"/>
        <v>170904</v>
      </c>
      <c r="E28" s="37" t="str">
        <f t="shared" si="0"/>
        <v>NP</v>
      </c>
      <c r="F28" s="46">
        <f t="shared" si="1"/>
        <v>0</v>
      </c>
      <c r="G28" s="47">
        <f t="shared" si="1"/>
        <v>0</v>
      </c>
      <c r="H28" s="48">
        <f>C8*0</f>
        <v>0</v>
      </c>
      <c r="I28" s="47">
        <f>C8*0</f>
        <v>0</v>
      </c>
      <c r="J28" s="7">
        <f>C8*0.000413</f>
        <v>0</v>
      </c>
      <c r="K28" s="167">
        <f>C8*0.000167</f>
        <v>0</v>
      </c>
      <c r="L28" s="167"/>
      <c r="M28" s="173"/>
      <c r="N28" s="166">
        <f>C8*0.000365</f>
        <v>0</v>
      </c>
      <c r="O28" s="167"/>
      <c r="P28" s="167">
        <f>C8*0.000147</f>
        <v>0</v>
      </c>
      <c r="Q28" s="167"/>
      <c r="R28" s="302"/>
    </row>
    <row r="29" spans="1:18" ht="19.5" customHeight="1">
      <c r="A29" s="220" t="s">
        <v>13</v>
      </c>
      <c r="B29" s="221"/>
      <c r="C29" s="222"/>
      <c r="D29" s="42">
        <f t="shared" si="0"/>
        <v>170802</v>
      </c>
      <c r="E29" s="37" t="str">
        <f t="shared" si="0"/>
        <v>NP</v>
      </c>
      <c r="F29" s="46">
        <f t="shared" si="1"/>
        <v>0</v>
      </c>
      <c r="G29" s="47">
        <f t="shared" si="1"/>
        <v>0</v>
      </c>
      <c r="H29" s="48">
        <f>C8*0</f>
        <v>0</v>
      </c>
      <c r="I29" s="47">
        <f>C8*0</f>
        <v>0</v>
      </c>
      <c r="J29" s="7">
        <f>C8*0</f>
        <v>0</v>
      </c>
      <c r="K29" s="167">
        <f>C8*0</f>
        <v>0</v>
      </c>
      <c r="L29" s="167"/>
      <c r="M29" s="173"/>
      <c r="N29" s="166">
        <f>C8*0.00972</f>
        <v>0</v>
      </c>
      <c r="O29" s="167"/>
      <c r="P29" s="167">
        <f>C8*0.003927</f>
        <v>0</v>
      </c>
      <c r="Q29" s="167"/>
      <c r="R29" s="302"/>
    </row>
    <row r="30" spans="1:18" ht="19.5" customHeight="1">
      <c r="A30" s="220" t="s">
        <v>12</v>
      </c>
      <c r="B30" s="221"/>
      <c r="C30" s="222"/>
      <c r="D30" s="42">
        <f t="shared" si="0"/>
        <v>170407</v>
      </c>
      <c r="E30" s="37" t="str">
        <f t="shared" si="0"/>
        <v>NP</v>
      </c>
      <c r="F30" s="46">
        <f t="shared" si="1"/>
        <v>0</v>
      </c>
      <c r="G30" s="47">
        <f t="shared" si="1"/>
        <v>0</v>
      </c>
      <c r="H30" s="48">
        <f>C8*0.001264</f>
        <v>0</v>
      </c>
      <c r="I30" s="47">
        <f>C8*0.000455</f>
        <v>0</v>
      </c>
      <c r="J30" s="7">
        <f>C8*0.000535</f>
        <v>0</v>
      </c>
      <c r="K30" s="167">
        <f>C8*0.000193</f>
        <v>0</v>
      </c>
      <c r="L30" s="167"/>
      <c r="M30" s="173"/>
      <c r="N30" s="166">
        <f>C8*0</f>
        <v>0</v>
      </c>
      <c r="O30" s="167"/>
      <c r="P30" s="167">
        <f>C8*0</f>
        <v>0</v>
      </c>
      <c r="Q30" s="167"/>
      <c r="R30" s="302"/>
    </row>
    <row r="31" spans="1:18" ht="19.5" customHeight="1">
      <c r="A31" s="220" t="s">
        <v>9</v>
      </c>
      <c r="B31" s="221"/>
      <c r="C31" s="222"/>
      <c r="D31" s="42">
        <f t="shared" si="0"/>
        <v>170201</v>
      </c>
      <c r="E31" s="37" t="str">
        <f t="shared" si="0"/>
        <v>NP</v>
      </c>
      <c r="F31" s="46">
        <f t="shared" si="1"/>
        <v>0</v>
      </c>
      <c r="G31" s="47">
        <f t="shared" si="1"/>
        <v>0</v>
      </c>
      <c r="H31" s="48">
        <f>C8*0.00948</f>
        <v>0</v>
      </c>
      <c r="I31" s="47">
        <f>C8*0.00237</f>
        <v>0</v>
      </c>
      <c r="J31" s="7">
        <f>C8*0.001605</f>
        <v>0</v>
      </c>
      <c r="K31" s="167">
        <f>C8*0.000401</f>
        <v>0</v>
      </c>
      <c r="L31" s="167"/>
      <c r="M31" s="173"/>
      <c r="N31" s="166">
        <f>C8*0.003402</f>
        <v>0</v>
      </c>
      <c r="O31" s="167"/>
      <c r="P31" s="167">
        <f>C8*0.000851</f>
        <v>0</v>
      </c>
      <c r="Q31" s="167"/>
      <c r="R31" s="302"/>
    </row>
    <row r="32" spans="1:18" ht="19.5" customHeight="1">
      <c r="A32" s="220" t="s">
        <v>10</v>
      </c>
      <c r="B32" s="221"/>
      <c r="C32" s="222"/>
      <c r="D32" s="42">
        <f aca="true" t="shared" si="2" ref="D32:E34">M17</f>
        <v>170203</v>
      </c>
      <c r="E32" s="37" t="str">
        <f t="shared" si="2"/>
        <v>NP</v>
      </c>
      <c r="F32" s="46">
        <f aca="true" t="shared" si="3" ref="F32:G34">J17</f>
        <v>0</v>
      </c>
      <c r="G32" s="47">
        <f t="shared" si="3"/>
        <v>0</v>
      </c>
      <c r="H32" s="48">
        <f>C8*0.001896</f>
        <v>0</v>
      </c>
      <c r="I32" s="47">
        <f>C8*0.00029</f>
        <v>0</v>
      </c>
      <c r="J32" s="7">
        <f>C8*0.00214</f>
        <v>0</v>
      </c>
      <c r="K32" s="167">
        <f>C8*0.000327</f>
        <v>0</v>
      </c>
      <c r="L32" s="167"/>
      <c r="M32" s="173"/>
      <c r="N32" s="166">
        <f>C8*0.006318</f>
        <v>0</v>
      </c>
      <c r="O32" s="167"/>
      <c r="P32" s="167">
        <f>C8*0.000966</f>
        <v>0</v>
      </c>
      <c r="Q32" s="167"/>
      <c r="R32" s="302"/>
    </row>
    <row r="33" spans="1:18" ht="19.5" customHeight="1">
      <c r="A33" s="220" t="s">
        <v>16</v>
      </c>
      <c r="B33" s="221"/>
      <c r="C33" s="222"/>
      <c r="D33" s="42">
        <f t="shared" si="2"/>
        <v>150501</v>
      </c>
      <c r="E33" s="37" t="str">
        <f t="shared" si="2"/>
        <v>NP</v>
      </c>
      <c r="F33" s="46">
        <f t="shared" si="3"/>
        <v>0</v>
      </c>
      <c r="G33" s="47">
        <f t="shared" si="3"/>
        <v>0</v>
      </c>
      <c r="H33" s="48">
        <f>C8*0.000793</f>
        <v>0</v>
      </c>
      <c r="I33" s="47">
        <f>C8*0.000056</f>
        <v>0</v>
      </c>
      <c r="J33" s="7">
        <f>C8*0.003761</f>
        <v>0</v>
      </c>
      <c r="K33" s="167">
        <f>C8*0.000263</f>
        <v>0</v>
      </c>
      <c r="L33" s="167"/>
      <c r="M33" s="173"/>
      <c r="N33" s="166">
        <f>C8*0.007321</f>
        <v>0</v>
      </c>
      <c r="O33" s="167"/>
      <c r="P33" s="167">
        <f>C8*0.000512</f>
        <v>0</v>
      </c>
      <c r="Q33" s="167"/>
      <c r="R33" s="302"/>
    </row>
    <row r="34" spans="1:18" ht="35.25" customHeight="1" thickBot="1">
      <c r="A34" s="220" t="s">
        <v>11</v>
      </c>
      <c r="B34" s="221"/>
      <c r="C34" s="222"/>
      <c r="D34" s="43">
        <f t="shared" si="2"/>
        <v>150110</v>
      </c>
      <c r="E34" s="39" t="str">
        <f t="shared" si="2"/>
        <v>P</v>
      </c>
      <c r="F34" s="57">
        <f t="shared" si="3"/>
        <v>0</v>
      </c>
      <c r="G34" s="58">
        <f t="shared" si="3"/>
        <v>0</v>
      </c>
      <c r="H34" s="48">
        <f>C8*0.000437</f>
        <v>0</v>
      </c>
      <c r="I34" s="47">
        <f>C8*0.000022</f>
        <v>0</v>
      </c>
      <c r="J34" s="7">
        <f>C8*0.000437</f>
        <v>0</v>
      </c>
      <c r="K34" s="167">
        <f>C8*0.000022</f>
        <v>0</v>
      </c>
      <c r="L34" s="167"/>
      <c r="M34" s="173"/>
      <c r="N34" s="308">
        <f>C8*0.001312</f>
        <v>0</v>
      </c>
      <c r="O34" s="303"/>
      <c r="P34" s="303">
        <f>C8*0.000066</f>
        <v>0</v>
      </c>
      <c r="Q34" s="303"/>
      <c r="R34" s="304"/>
    </row>
    <row r="35" spans="1:18" ht="13.5" customHeight="1" thickBot="1">
      <c r="A35" s="310" t="s">
        <v>30</v>
      </c>
      <c r="B35" s="311"/>
      <c r="C35" s="312"/>
      <c r="D35" s="44" t="s">
        <v>2</v>
      </c>
      <c r="E35" s="40" t="s">
        <v>2</v>
      </c>
      <c r="F35" s="59">
        <f>SUM(F26:F34)</f>
        <v>0</v>
      </c>
      <c r="G35" s="60">
        <f>SUM(G26:G34)</f>
        <v>0</v>
      </c>
      <c r="H35" s="61">
        <f>SUM(H26:H34)</f>
        <v>0</v>
      </c>
      <c r="I35" s="60">
        <f>SUM(I26:I34)</f>
        <v>0</v>
      </c>
      <c r="J35" s="59">
        <f>SUM(J26:J34)</f>
        <v>0</v>
      </c>
      <c r="K35" s="171">
        <f>SUM(K26:M34)</f>
        <v>0</v>
      </c>
      <c r="L35" s="171"/>
      <c r="M35" s="172"/>
      <c r="N35" s="314">
        <f>SUM(N26:O34)</f>
        <v>0</v>
      </c>
      <c r="O35" s="171"/>
      <c r="P35" s="171">
        <f>SUM(P26:P34)</f>
        <v>0</v>
      </c>
      <c r="Q35" s="171"/>
      <c r="R35" s="313"/>
    </row>
    <row r="36" ht="12"/>
    <row r="37" ht="12"/>
    <row r="38" spans="1:19" ht="12" customHeight="1">
      <c r="A38" s="149" t="s">
        <v>75</v>
      </c>
      <c r="B38" s="301" t="s">
        <v>146</v>
      </c>
      <c r="C38" s="301"/>
      <c r="D38" s="301"/>
      <c r="E38" s="301"/>
      <c r="F38" s="301"/>
      <c r="G38" s="301"/>
      <c r="H38" s="301"/>
      <c r="I38" s="301"/>
      <c r="J38" s="301"/>
      <c r="K38" s="301"/>
      <c r="L38" s="301"/>
      <c r="M38" s="301"/>
      <c r="N38" s="301"/>
      <c r="O38" s="301"/>
      <c r="P38" s="301"/>
      <c r="Q38" s="301"/>
      <c r="R38" s="301"/>
      <c r="S38" s="301"/>
    </row>
    <row r="39" spans="1:19" ht="12">
      <c r="A39" s="149"/>
      <c r="B39" s="301"/>
      <c r="C39" s="301"/>
      <c r="D39" s="301"/>
      <c r="E39" s="301"/>
      <c r="F39" s="301"/>
      <c r="G39" s="301"/>
      <c r="H39" s="301"/>
      <c r="I39" s="301"/>
      <c r="J39" s="301"/>
      <c r="K39" s="301"/>
      <c r="L39" s="301"/>
      <c r="M39" s="301"/>
      <c r="N39" s="301"/>
      <c r="O39" s="301"/>
      <c r="P39" s="301"/>
      <c r="Q39" s="301"/>
      <c r="R39" s="301"/>
      <c r="S39" s="301"/>
    </row>
    <row r="40" spans="1:19" ht="12" customHeight="1">
      <c r="A40" s="149" t="s">
        <v>54</v>
      </c>
      <c r="B40" s="301" t="s">
        <v>147</v>
      </c>
      <c r="C40" s="301"/>
      <c r="D40" s="301"/>
      <c r="E40" s="301"/>
      <c r="F40" s="301"/>
      <c r="G40" s="301"/>
      <c r="H40" s="301"/>
      <c r="I40" s="301"/>
      <c r="J40" s="301"/>
      <c r="K40" s="301"/>
      <c r="L40" s="301"/>
      <c r="M40" s="301"/>
      <c r="N40" s="301"/>
      <c r="O40" s="301"/>
      <c r="P40" s="301"/>
      <c r="Q40" s="301"/>
      <c r="R40" s="301"/>
      <c r="S40" s="150"/>
    </row>
    <row r="41" spans="1:19" ht="12">
      <c r="A41" s="149"/>
      <c r="B41" s="301"/>
      <c r="C41" s="301"/>
      <c r="D41" s="301"/>
      <c r="E41" s="301"/>
      <c r="F41" s="301"/>
      <c r="G41" s="301"/>
      <c r="H41" s="301"/>
      <c r="I41" s="301"/>
      <c r="J41" s="301"/>
      <c r="K41" s="301"/>
      <c r="L41" s="301"/>
      <c r="M41" s="301"/>
      <c r="N41" s="301"/>
      <c r="O41" s="301"/>
      <c r="P41" s="301"/>
      <c r="Q41" s="301"/>
      <c r="R41" s="301"/>
      <c r="S41" s="150"/>
    </row>
    <row r="42" spans="1:19" ht="12">
      <c r="A42" s="149"/>
      <c r="B42" s="301"/>
      <c r="C42" s="301"/>
      <c r="D42" s="301"/>
      <c r="E42" s="301"/>
      <c r="F42" s="301"/>
      <c r="G42" s="301"/>
      <c r="H42" s="301"/>
      <c r="I42" s="301"/>
      <c r="J42" s="301"/>
      <c r="K42" s="301"/>
      <c r="L42" s="301"/>
      <c r="M42" s="301"/>
      <c r="N42" s="301"/>
      <c r="O42" s="301"/>
      <c r="P42" s="301"/>
      <c r="Q42" s="301"/>
      <c r="R42" s="301"/>
      <c r="S42" s="150"/>
    </row>
    <row r="43" ht="12"/>
    <row r="44" ht="12.75" thickBot="1"/>
    <row r="45" spans="1:18" ht="21.75" customHeight="1" thickBot="1">
      <c r="A45" s="267" t="s">
        <v>45</v>
      </c>
      <c r="B45" s="268"/>
      <c r="C45" s="268"/>
      <c r="D45" s="268"/>
      <c r="E45" s="268"/>
      <c r="F45" s="268"/>
      <c r="G45" s="268"/>
      <c r="H45" s="268"/>
      <c r="I45" s="268"/>
      <c r="J45" s="268"/>
      <c r="K45" s="268"/>
      <c r="L45" s="268"/>
      <c r="M45" s="268"/>
      <c r="N45" s="268"/>
      <c r="O45" s="268"/>
      <c r="P45" s="268"/>
      <c r="Q45" s="268"/>
      <c r="R45" s="269"/>
    </row>
    <row r="46" spans="1:18" s="50" customFormat="1" ht="16.5" customHeight="1" thickBot="1">
      <c r="A46" s="295" t="s">
        <v>32</v>
      </c>
      <c r="B46" s="296"/>
      <c r="C46" s="296"/>
      <c r="D46" s="297" t="s">
        <v>33</v>
      </c>
      <c r="E46" s="297"/>
      <c r="F46" s="297"/>
      <c r="G46" s="297"/>
      <c r="H46" s="297" t="s">
        <v>47</v>
      </c>
      <c r="I46" s="297"/>
      <c r="J46" s="296" t="s">
        <v>34</v>
      </c>
      <c r="K46" s="296"/>
      <c r="L46" s="296"/>
      <c r="M46" s="296"/>
      <c r="N46" s="298" t="s">
        <v>35</v>
      </c>
      <c r="O46" s="299"/>
      <c r="P46" s="299"/>
      <c r="Q46" s="299"/>
      <c r="R46" s="300"/>
    </row>
    <row r="47" spans="1:18" s="49" customFormat="1" ht="16.5" customHeight="1">
      <c r="A47" s="211"/>
      <c r="B47" s="212"/>
      <c r="C47" s="212"/>
      <c r="D47" s="213"/>
      <c r="E47" s="213"/>
      <c r="F47" s="213"/>
      <c r="G47" s="213"/>
      <c r="H47" s="213"/>
      <c r="I47" s="213"/>
      <c r="J47" s="212"/>
      <c r="K47" s="212"/>
      <c r="L47" s="212"/>
      <c r="M47" s="212"/>
      <c r="N47" s="365"/>
      <c r="O47" s="366"/>
      <c r="P47" s="366"/>
      <c r="Q47" s="366"/>
      <c r="R47" s="367"/>
    </row>
    <row r="48" spans="1:18" s="49" customFormat="1" ht="16.5" customHeight="1">
      <c r="A48" s="210"/>
      <c r="B48" s="170"/>
      <c r="C48" s="170"/>
      <c r="D48" s="197"/>
      <c r="E48" s="197"/>
      <c r="F48" s="197"/>
      <c r="G48" s="197"/>
      <c r="H48" s="197"/>
      <c r="I48" s="197"/>
      <c r="J48" s="170"/>
      <c r="K48" s="170"/>
      <c r="L48" s="170"/>
      <c r="M48" s="170"/>
      <c r="N48" s="287"/>
      <c r="O48" s="288"/>
      <c r="P48" s="288"/>
      <c r="Q48" s="288"/>
      <c r="R48" s="289"/>
    </row>
    <row r="49" spans="1:18" s="49" customFormat="1" ht="16.5" customHeight="1">
      <c r="A49" s="210"/>
      <c r="B49" s="170"/>
      <c r="C49" s="170"/>
      <c r="D49" s="197"/>
      <c r="E49" s="197"/>
      <c r="F49" s="197"/>
      <c r="G49" s="197"/>
      <c r="H49" s="197"/>
      <c r="I49" s="197"/>
      <c r="J49" s="170"/>
      <c r="K49" s="170"/>
      <c r="L49" s="170"/>
      <c r="M49" s="170"/>
      <c r="N49" s="287"/>
      <c r="O49" s="288"/>
      <c r="P49" s="288"/>
      <c r="Q49" s="288"/>
      <c r="R49" s="289"/>
    </row>
    <row r="50" spans="1:18" s="49" customFormat="1" ht="16.5" customHeight="1">
      <c r="A50" s="210"/>
      <c r="B50" s="170"/>
      <c r="C50" s="170"/>
      <c r="D50" s="197"/>
      <c r="E50" s="197"/>
      <c r="F50" s="197"/>
      <c r="G50" s="197"/>
      <c r="H50" s="197"/>
      <c r="I50" s="197"/>
      <c r="J50" s="170"/>
      <c r="K50" s="170"/>
      <c r="L50" s="170"/>
      <c r="M50" s="170"/>
      <c r="N50" s="287"/>
      <c r="O50" s="288"/>
      <c r="P50" s="288"/>
      <c r="Q50" s="288"/>
      <c r="R50" s="289"/>
    </row>
    <row r="51" spans="1:18" s="49" customFormat="1" ht="16.5" customHeight="1">
      <c r="A51" s="210"/>
      <c r="B51" s="170"/>
      <c r="C51" s="170"/>
      <c r="D51" s="197"/>
      <c r="E51" s="197"/>
      <c r="F51" s="197"/>
      <c r="G51" s="197"/>
      <c r="H51" s="197"/>
      <c r="I51" s="197"/>
      <c r="J51" s="170"/>
      <c r="K51" s="170"/>
      <c r="L51" s="170"/>
      <c r="M51" s="170"/>
      <c r="N51" s="287"/>
      <c r="O51" s="288"/>
      <c r="P51" s="288"/>
      <c r="Q51" s="288"/>
      <c r="R51" s="289"/>
    </row>
    <row r="52" spans="1:18" s="49" customFormat="1" ht="16.5" customHeight="1">
      <c r="A52" s="210"/>
      <c r="B52" s="170"/>
      <c r="C52" s="170"/>
      <c r="D52" s="197"/>
      <c r="E52" s="197"/>
      <c r="F52" s="197"/>
      <c r="G52" s="197"/>
      <c r="H52" s="197"/>
      <c r="I52" s="197"/>
      <c r="J52" s="170"/>
      <c r="K52" s="170"/>
      <c r="L52" s="170"/>
      <c r="M52" s="170"/>
      <c r="N52" s="287"/>
      <c r="O52" s="288"/>
      <c r="P52" s="288"/>
      <c r="Q52" s="288"/>
      <c r="R52" s="289"/>
    </row>
    <row r="53" spans="1:18" s="49" customFormat="1" ht="16.5" customHeight="1">
      <c r="A53" s="210"/>
      <c r="B53" s="170"/>
      <c r="C53" s="170"/>
      <c r="D53" s="197"/>
      <c r="E53" s="197"/>
      <c r="F53" s="197"/>
      <c r="G53" s="197"/>
      <c r="H53" s="197"/>
      <c r="I53" s="197"/>
      <c r="J53" s="170"/>
      <c r="K53" s="170"/>
      <c r="L53" s="170"/>
      <c r="M53" s="170"/>
      <c r="N53" s="287"/>
      <c r="O53" s="288"/>
      <c r="P53" s="288"/>
      <c r="Q53" s="288"/>
      <c r="R53" s="289"/>
    </row>
    <row r="54" spans="1:18" s="49" customFormat="1" ht="16.5" customHeight="1" thickBot="1">
      <c r="A54" s="294"/>
      <c r="B54" s="291"/>
      <c r="C54" s="291"/>
      <c r="D54" s="293"/>
      <c r="E54" s="293"/>
      <c r="F54" s="293"/>
      <c r="G54" s="293"/>
      <c r="H54" s="293"/>
      <c r="I54" s="293"/>
      <c r="J54" s="291"/>
      <c r="K54" s="291"/>
      <c r="L54" s="291"/>
      <c r="M54" s="291"/>
      <c r="N54" s="368"/>
      <c r="O54" s="369"/>
      <c r="P54" s="369"/>
      <c r="Q54" s="369"/>
      <c r="R54" s="370"/>
    </row>
    <row r="55" ht="12"/>
    <row r="56" ht="12.75" thickBot="1"/>
    <row r="57" spans="1:18" ht="21.75" customHeight="1" thickBot="1">
      <c r="A57" s="267" t="s">
        <v>76</v>
      </c>
      <c r="B57" s="268"/>
      <c r="C57" s="268"/>
      <c r="D57" s="334"/>
      <c r="E57" s="334"/>
      <c r="F57" s="334"/>
      <c r="G57" s="268"/>
      <c r="H57" s="268"/>
      <c r="I57" s="268"/>
      <c r="J57" s="268"/>
      <c r="K57" s="268"/>
      <c r="L57" s="268"/>
      <c r="M57" s="268"/>
      <c r="N57" s="268"/>
      <c r="O57" s="268"/>
      <c r="P57" s="334"/>
      <c r="Q57" s="334"/>
      <c r="R57" s="335"/>
    </row>
    <row r="58" spans="1:18" ht="29.25" customHeight="1">
      <c r="A58" s="174" t="s">
        <v>32</v>
      </c>
      <c r="B58" s="175"/>
      <c r="C58" s="175"/>
      <c r="D58" s="178" t="s">
        <v>58</v>
      </c>
      <c r="E58" s="179"/>
      <c r="F58" s="91" t="s">
        <v>28</v>
      </c>
      <c r="G58" s="273" t="s">
        <v>57</v>
      </c>
      <c r="H58" s="273"/>
      <c r="I58" s="273"/>
      <c r="J58" s="273"/>
      <c r="K58" s="274"/>
      <c r="L58" s="62"/>
      <c r="M58" s="336" t="s">
        <v>38</v>
      </c>
      <c r="N58" s="337"/>
      <c r="O58" s="338"/>
      <c r="P58" s="168" t="s">
        <v>153</v>
      </c>
      <c r="Q58" s="169"/>
      <c r="R58" s="144">
        <v>6</v>
      </c>
    </row>
    <row r="59" spans="1:18" s="50" customFormat="1" ht="14.25" customHeight="1" thickBot="1">
      <c r="A59" s="176"/>
      <c r="B59" s="177"/>
      <c r="C59" s="177"/>
      <c r="D59" s="180" t="s">
        <v>36</v>
      </c>
      <c r="E59" s="181"/>
      <c r="F59" s="136">
        <v>0.35</v>
      </c>
      <c r="G59" s="90" t="s">
        <v>20</v>
      </c>
      <c r="H59" s="140"/>
      <c r="I59" s="207" t="s">
        <v>21</v>
      </c>
      <c r="J59" s="207"/>
      <c r="K59" s="142"/>
      <c r="L59" s="64" t="s">
        <v>22</v>
      </c>
      <c r="M59" s="65" t="s">
        <v>39</v>
      </c>
      <c r="N59" s="207" t="s">
        <v>41</v>
      </c>
      <c r="O59" s="325"/>
      <c r="P59" s="65" t="s">
        <v>41</v>
      </c>
      <c r="Q59" s="77" t="s">
        <v>42</v>
      </c>
      <c r="R59" s="99" t="s">
        <v>44</v>
      </c>
    </row>
    <row r="60" spans="1:18" s="49" customFormat="1" ht="16.5" customHeight="1">
      <c r="A60" s="305" t="s">
        <v>7</v>
      </c>
      <c r="B60" s="306"/>
      <c r="C60" s="371"/>
      <c r="D60" s="284">
        <f>J10+(J10*$F$59)</f>
        <v>0</v>
      </c>
      <c r="E60" s="285"/>
      <c r="F60" s="286"/>
      <c r="G60" s="292" t="str">
        <f>IF(G10=0,"-",D60*$H$59)</f>
        <v>-</v>
      </c>
      <c r="H60" s="208"/>
      <c r="I60" s="208" t="str">
        <f>IF(H10=0,"-",D60*$K$59)</f>
        <v>-</v>
      </c>
      <c r="J60" s="208"/>
      <c r="K60" s="209"/>
      <c r="L60" s="30"/>
      <c r="M60" s="137"/>
      <c r="N60" s="224">
        <f>D60*M60</f>
        <v>0</v>
      </c>
      <c r="O60" s="240"/>
      <c r="P60" s="75">
        <f>R60*Q60*(INT(D60/$R$58)+1)</f>
        <v>0</v>
      </c>
      <c r="Q60" s="119"/>
      <c r="R60" s="120"/>
    </row>
    <row r="61" spans="1:18" s="49" customFormat="1" ht="16.5" customHeight="1">
      <c r="A61" s="220" t="s">
        <v>8</v>
      </c>
      <c r="B61" s="221"/>
      <c r="C61" s="272"/>
      <c r="D61" s="284">
        <f>J11+(J11*$F$59)</f>
        <v>0</v>
      </c>
      <c r="E61" s="285"/>
      <c r="F61" s="286"/>
      <c r="G61" s="270" t="str">
        <f>IF(G11=0,"-",D61*$H$59)</f>
        <v>-</v>
      </c>
      <c r="H61" s="271"/>
      <c r="I61" s="271" t="str">
        <f>IF(H11=0,"-",D61*$K$59)</f>
        <v>-</v>
      </c>
      <c r="J61" s="271"/>
      <c r="K61" s="309"/>
      <c r="L61" s="31"/>
      <c r="M61" s="138"/>
      <c r="N61" s="167">
        <f>D61*M61</f>
        <v>0</v>
      </c>
      <c r="O61" s="173"/>
      <c r="P61" s="71">
        <f>R61*Q61*(INT(D61/$R$58)+1)</f>
        <v>0</v>
      </c>
      <c r="Q61" s="121"/>
      <c r="R61" s="122"/>
    </row>
    <row r="62" spans="1:18" s="49" customFormat="1" ht="27.75" customHeight="1">
      <c r="A62" s="220" t="s">
        <v>14</v>
      </c>
      <c r="B62" s="221"/>
      <c r="C62" s="272"/>
      <c r="D62" s="284">
        <f>J12+(J12*$F$59)</f>
        <v>0</v>
      </c>
      <c r="E62" s="285"/>
      <c r="F62" s="286"/>
      <c r="G62" s="270" t="str">
        <f>IF(G12=0,"-",D62*$H$59)</f>
        <v>-</v>
      </c>
      <c r="H62" s="271"/>
      <c r="I62" s="271" t="str">
        <f>IF(H12=0,"-",D62*$K$59)</f>
        <v>-</v>
      </c>
      <c r="J62" s="271"/>
      <c r="K62" s="309"/>
      <c r="L62" s="31"/>
      <c r="M62" s="138"/>
      <c r="N62" s="167">
        <f>D62*M62</f>
        <v>0</v>
      </c>
      <c r="O62" s="173"/>
      <c r="P62" s="71">
        <f>R62*Q62*(INT(D62/$R$58)+1)</f>
        <v>0</v>
      </c>
      <c r="Q62" s="121"/>
      <c r="R62" s="122"/>
    </row>
    <row r="63" spans="1:18" s="49" customFormat="1" ht="16.5" customHeight="1" thickBot="1">
      <c r="A63" s="281" t="s">
        <v>13</v>
      </c>
      <c r="B63" s="282"/>
      <c r="C63" s="283"/>
      <c r="D63" s="284">
        <f>J13+(J13*$F$59)</f>
        <v>0</v>
      </c>
      <c r="E63" s="285"/>
      <c r="F63" s="286"/>
      <c r="G63" s="278" t="str">
        <f>IF(G13=0,"-",D63*$H$59)</f>
        <v>-</v>
      </c>
      <c r="H63" s="279"/>
      <c r="I63" s="279" t="str">
        <f>IF(H13=0,"-",D63*$K$59)</f>
        <v>-</v>
      </c>
      <c r="J63" s="279"/>
      <c r="K63" s="280"/>
      <c r="L63" s="72"/>
      <c r="M63" s="139"/>
      <c r="N63" s="326">
        <f>D63*M63</f>
        <v>0</v>
      </c>
      <c r="O63" s="327"/>
      <c r="P63" s="73">
        <f>R63*Q63*(INT(D63/$R$58)+1)</f>
        <v>0</v>
      </c>
      <c r="Q63" s="123"/>
      <c r="R63" s="124"/>
    </row>
    <row r="64" spans="1:18" s="49" customFormat="1" ht="16.5" customHeight="1" thickBot="1">
      <c r="A64" s="379"/>
      <c r="B64" s="299"/>
      <c r="C64" s="300"/>
      <c r="D64" s="380" t="s">
        <v>37</v>
      </c>
      <c r="E64" s="381"/>
      <c r="F64" s="92" t="s">
        <v>29</v>
      </c>
      <c r="G64" s="45" t="s">
        <v>20</v>
      </c>
      <c r="H64" s="141"/>
      <c r="I64" s="290" t="s">
        <v>21</v>
      </c>
      <c r="J64" s="250"/>
      <c r="K64" s="141"/>
      <c r="L64" s="63"/>
      <c r="M64" s="66" t="s">
        <v>40</v>
      </c>
      <c r="N64" s="382" t="s">
        <v>41</v>
      </c>
      <c r="O64" s="383"/>
      <c r="P64" s="384" t="s">
        <v>41</v>
      </c>
      <c r="Q64" s="385" t="s">
        <v>42</v>
      </c>
      <c r="R64" s="386" t="s">
        <v>44</v>
      </c>
    </row>
    <row r="65" spans="1:18" s="49" customFormat="1" ht="16.5" customHeight="1">
      <c r="A65" s="275" t="s">
        <v>12</v>
      </c>
      <c r="B65" s="276"/>
      <c r="C65" s="277"/>
      <c r="D65" s="284">
        <f aca="true" t="shared" si="4" ref="D65:D70">K14</f>
        <v>0</v>
      </c>
      <c r="E65" s="285"/>
      <c r="F65" s="343"/>
      <c r="G65" s="198" t="str">
        <f aca="true" t="shared" si="5" ref="G65:G70">IF(G14=0,"-",D65*$H$64)</f>
        <v>-</v>
      </c>
      <c r="H65" s="199"/>
      <c r="I65" s="199" t="str">
        <f aca="true" t="shared" si="6" ref="I65:I70">IF(H14=0,"-",D65*$K$64)</f>
        <v>-</v>
      </c>
      <c r="J65" s="199"/>
      <c r="K65" s="200"/>
      <c r="L65" s="74"/>
      <c r="M65" s="137"/>
      <c r="N65" s="224">
        <f aca="true" t="shared" si="7" ref="N65:N70">D65*M65</f>
        <v>0</v>
      </c>
      <c r="O65" s="240"/>
      <c r="P65" s="75">
        <f aca="true" t="shared" si="8" ref="P65:P70">R65*Q65*(INT((J14*1.35)/$R$58)+1)</f>
        <v>0</v>
      </c>
      <c r="Q65" s="119"/>
      <c r="R65" s="120"/>
    </row>
    <row r="66" spans="1:18" s="49" customFormat="1" ht="16.5" customHeight="1">
      <c r="A66" s="220" t="s">
        <v>9</v>
      </c>
      <c r="B66" s="221"/>
      <c r="C66" s="272"/>
      <c r="D66" s="201">
        <f t="shared" si="4"/>
        <v>0</v>
      </c>
      <c r="E66" s="202"/>
      <c r="F66" s="203"/>
      <c r="G66" s="198" t="str">
        <f t="shared" si="5"/>
        <v>-</v>
      </c>
      <c r="H66" s="199"/>
      <c r="I66" s="199" t="str">
        <f t="shared" si="6"/>
        <v>-</v>
      </c>
      <c r="J66" s="199"/>
      <c r="K66" s="200"/>
      <c r="L66" s="31"/>
      <c r="M66" s="138"/>
      <c r="N66" s="167">
        <f t="shared" si="7"/>
        <v>0</v>
      </c>
      <c r="O66" s="173"/>
      <c r="P66" s="71">
        <f t="shared" si="8"/>
        <v>0</v>
      </c>
      <c r="Q66" s="121"/>
      <c r="R66" s="122"/>
    </row>
    <row r="67" spans="1:18" s="49" customFormat="1" ht="16.5" customHeight="1">
      <c r="A67" s="220" t="s">
        <v>17</v>
      </c>
      <c r="B67" s="221"/>
      <c r="C67" s="272"/>
      <c r="D67" s="201">
        <f t="shared" si="4"/>
        <v>0</v>
      </c>
      <c r="E67" s="202"/>
      <c r="F67" s="203"/>
      <c r="G67" s="198" t="str">
        <f t="shared" si="5"/>
        <v>-</v>
      </c>
      <c r="H67" s="199"/>
      <c r="I67" s="199" t="str">
        <f t="shared" si="6"/>
        <v>-</v>
      </c>
      <c r="J67" s="199"/>
      <c r="K67" s="200"/>
      <c r="L67" s="31"/>
      <c r="M67" s="138"/>
      <c r="N67" s="167">
        <f t="shared" si="7"/>
        <v>0</v>
      </c>
      <c r="O67" s="173"/>
      <c r="P67" s="71">
        <f t="shared" si="8"/>
        <v>0</v>
      </c>
      <c r="Q67" s="121"/>
      <c r="R67" s="122"/>
    </row>
    <row r="68" spans="1:18" s="49" customFormat="1" ht="16.5" customHeight="1">
      <c r="A68" s="220" t="s">
        <v>10</v>
      </c>
      <c r="B68" s="221"/>
      <c r="C68" s="272"/>
      <c r="D68" s="201">
        <f t="shared" si="4"/>
        <v>0</v>
      </c>
      <c r="E68" s="202"/>
      <c r="F68" s="203"/>
      <c r="G68" s="198" t="str">
        <f t="shared" si="5"/>
        <v>-</v>
      </c>
      <c r="H68" s="199"/>
      <c r="I68" s="199" t="str">
        <f t="shared" si="6"/>
        <v>-</v>
      </c>
      <c r="J68" s="199"/>
      <c r="K68" s="200"/>
      <c r="L68" s="31"/>
      <c r="M68" s="138"/>
      <c r="N68" s="167">
        <f t="shared" si="7"/>
        <v>0</v>
      </c>
      <c r="O68" s="173"/>
      <c r="P68" s="71">
        <f t="shared" si="8"/>
        <v>0</v>
      </c>
      <c r="Q68" s="121"/>
      <c r="R68" s="122"/>
    </row>
    <row r="69" spans="1:18" ht="12.75" customHeight="1">
      <c r="A69" s="220" t="s">
        <v>16</v>
      </c>
      <c r="B69" s="221"/>
      <c r="C69" s="272"/>
      <c r="D69" s="201">
        <f t="shared" si="4"/>
        <v>0</v>
      </c>
      <c r="E69" s="202"/>
      <c r="F69" s="203"/>
      <c r="G69" s="198" t="str">
        <f t="shared" si="5"/>
        <v>-</v>
      </c>
      <c r="H69" s="199"/>
      <c r="I69" s="199" t="str">
        <f t="shared" si="6"/>
        <v>-</v>
      </c>
      <c r="J69" s="199"/>
      <c r="K69" s="200"/>
      <c r="L69" s="31"/>
      <c r="M69" s="138"/>
      <c r="N69" s="167">
        <f t="shared" si="7"/>
        <v>0</v>
      </c>
      <c r="O69" s="173"/>
      <c r="P69" s="71">
        <f t="shared" si="8"/>
        <v>0</v>
      </c>
      <c r="Q69" s="121"/>
      <c r="R69" s="122"/>
    </row>
    <row r="70" spans="1:18" ht="39.75" customHeight="1" thickBot="1">
      <c r="A70" s="362" t="s">
        <v>11</v>
      </c>
      <c r="B70" s="363"/>
      <c r="C70" s="364"/>
      <c r="D70" s="204">
        <f t="shared" si="4"/>
        <v>0</v>
      </c>
      <c r="E70" s="205"/>
      <c r="F70" s="206"/>
      <c r="G70" s="198" t="str">
        <f t="shared" si="5"/>
        <v>-</v>
      </c>
      <c r="H70" s="199"/>
      <c r="I70" s="199" t="str">
        <f t="shared" si="6"/>
        <v>-</v>
      </c>
      <c r="J70" s="199"/>
      <c r="K70" s="200"/>
      <c r="L70" s="76"/>
      <c r="M70" s="139"/>
      <c r="N70" s="326">
        <f t="shared" si="7"/>
        <v>0</v>
      </c>
      <c r="O70" s="327"/>
      <c r="P70" s="73">
        <f t="shared" si="8"/>
        <v>0</v>
      </c>
      <c r="Q70" s="123"/>
      <c r="R70" s="124"/>
    </row>
    <row r="71" spans="1:17" ht="5.25" customHeight="1" thickBot="1">
      <c r="A71" s="68"/>
      <c r="B71" s="68"/>
      <c r="C71" s="68"/>
      <c r="D71" s="69"/>
      <c r="E71" s="69"/>
      <c r="F71" s="69"/>
      <c r="G71" s="78"/>
      <c r="H71" s="78"/>
      <c r="I71" s="78"/>
      <c r="J71" s="78"/>
      <c r="K71" s="78"/>
      <c r="L71" s="63"/>
      <c r="M71" s="63"/>
      <c r="N71" s="70"/>
      <c r="O71" s="70"/>
      <c r="P71" s="67"/>
      <c r="Q71" s="67"/>
    </row>
    <row r="72" spans="1:18" ht="21.75" customHeight="1" thickBot="1">
      <c r="A72" s="359" t="s">
        <v>43</v>
      </c>
      <c r="B72" s="360"/>
      <c r="C72" s="361"/>
      <c r="D72" s="372">
        <f>G72+I72+M72+P72</f>
        <v>0</v>
      </c>
      <c r="E72" s="372"/>
      <c r="F72" s="373"/>
      <c r="G72" s="374">
        <f>SUM(G60:H63,G65:H70)</f>
        <v>0</v>
      </c>
      <c r="H72" s="375"/>
      <c r="I72" s="375">
        <f>SUM(I60:K63,I65:K70)</f>
        <v>0</v>
      </c>
      <c r="J72" s="375"/>
      <c r="K72" s="376"/>
      <c r="L72" s="79"/>
      <c r="M72" s="328">
        <f>SUM(N60:O63,N65:O70)</f>
        <v>0</v>
      </c>
      <c r="N72" s="329"/>
      <c r="O72" s="330"/>
      <c r="P72" s="328">
        <f>SUM(P60:P63,P65:P70)</f>
        <v>0</v>
      </c>
      <c r="Q72" s="329"/>
      <c r="R72" s="330"/>
    </row>
    <row r="73" ht="12">
      <c r="F73" s="12"/>
    </row>
    <row r="74" ht="12.75" thickBot="1"/>
    <row r="75" spans="1:18" ht="12" customHeight="1">
      <c r="A75" s="344" t="s">
        <v>149</v>
      </c>
      <c r="B75" s="345"/>
      <c r="C75" s="345"/>
      <c r="D75" s="345"/>
      <c r="E75" s="346"/>
      <c r="F75" s="353" t="s">
        <v>53</v>
      </c>
      <c r="G75" s="354"/>
      <c r="H75" s="354"/>
      <c r="I75" s="354"/>
      <c r="J75" s="158">
        <f>F76*I76</f>
        <v>0</v>
      </c>
      <c r="K75" s="331" t="s">
        <v>148</v>
      </c>
      <c r="L75" s="332"/>
      <c r="M75" s="332"/>
      <c r="N75" s="332"/>
      <c r="O75" s="332"/>
      <c r="P75" s="332"/>
      <c r="Q75" s="332"/>
      <c r="R75" s="333"/>
    </row>
    <row r="76" spans="1:18" ht="12.75" customHeight="1">
      <c r="A76" s="347"/>
      <c r="B76" s="348"/>
      <c r="C76" s="348"/>
      <c r="D76" s="348"/>
      <c r="E76" s="349"/>
      <c r="F76" s="355">
        <f>G35</f>
        <v>0</v>
      </c>
      <c r="G76" s="356"/>
      <c r="H76" s="193" t="s">
        <v>29</v>
      </c>
      <c r="I76" s="195">
        <v>11</v>
      </c>
      <c r="J76" s="317" t="s">
        <v>40</v>
      </c>
      <c r="K76" s="159"/>
      <c r="L76" s="339" t="str">
        <f>IF(F76=0,"-",IF(J75&lt;150,150,J75))</f>
        <v>-</v>
      </c>
      <c r="M76" s="339"/>
      <c r="N76" s="339"/>
      <c r="O76" s="340"/>
      <c r="P76" s="319" t="s">
        <v>3</v>
      </c>
      <c r="Q76" s="320"/>
      <c r="R76" s="321"/>
    </row>
    <row r="77" spans="1:18" ht="13.5" customHeight="1" thickBot="1">
      <c r="A77" s="350"/>
      <c r="B77" s="351"/>
      <c r="C77" s="351"/>
      <c r="D77" s="351"/>
      <c r="E77" s="352"/>
      <c r="F77" s="357"/>
      <c r="G77" s="358"/>
      <c r="H77" s="194"/>
      <c r="I77" s="196"/>
      <c r="J77" s="318"/>
      <c r="K77" s="160"/>
      <c r="L77" s="341"/>
      <c r="M77" s="341"/>
      <c r="N77" s="341"/>
      <c r="O77" s="342"/>
      <c r="P77" s="322"/>
      <c r="Q77" s="323"/>
      <c r="R77" s="324"/>
    </row>
    <row r="78" ht="12"/>
    <row r="79" spans="2:19" ht="34.5" customHeight="1">
      <c r="B79" s="161" t="s">
        <v>150</v>
      </c>
      <c r="C79" s="162" t="s">
        <v>151</v>
      </c>
      <c r="D79" s="162"/>
      <c r="E79" s="162"/>
      <c r="F79" s="162"/>
      <c r="G79" s="162"/>
      <c r="H79" s="162"/>
      <c r="I79" s="162"/>
      <c r="J79" s="162"/>
      <c r="K79" s="162"/>
      <c r="L79" s="162"/>
      <c r="M79" s="162"/>
      <c r="N79" s="162"/>
      <c r="O79" s="162"/>
      <c r="P79" s="162"/>
      <c r="Q79" s="162"/>
      <c r="R79" s="162"/>
      <c r="S79" s="162"/>
    </row>
    <row r="80" spans="3:19" ht="34.5" customHeight="1">
      <c r="C80" s="162"/>
      <c r="D80" s="162"/>
      <c r="E80" s="162"/>
      <c r="F80" s="162"/>
      <c r="G80" s="162"/>
      <c r="H80" s="162"/>
      <c r="I80" s="162"/>
      <c r="J80" s="162"/>
      <c r="K80" s="162"/>
      <c r="L80" s="162"/>
      <c r="M80" s="162"/>
      <c r="N80" s="162"/>
      <c r="O80" s="162"/>
      <c r="P80" s="162"/>
      <c r="Q80" s="162"/>
      <c r="R80" s="162"/>
      <c r="S80" s="162"/>
    </row>
    <row r="81" spans="2:18" ht="10.5" customHeight="1">
      <c r="B81" s="151" t="s">
        <v>59</v>
      </c>
      <c r="C81" s="151"/>
      <c r="D81" s="152"/>
      <c r="E81" s="150"/>
      <c r="F81" s="150"/>
      <c r="G81" s="153"/>
      <c r="H81" s="154"/>
      <c r="I81" s="126"/>
      <c r="J81" s="93"/>
      <c r="K81" s="93"/>
      <c r="L81" s="93"/>
      <c r="M81" s="100"/>
      <c r="N81" s="125"/>
      <c r="O81" s="126"/>
      <c r="P81" s="100"/>
      <c r="Q81" s="100"/>
      <c r="R81" s="93"/>
    </row>
    <row r="82" spans="2:18" ht="12.75">
      <c r="B82" s="153" t="s">
        <v>65</v>
      </c>
      <c r="C82" s="154" t="s">
        <v>77</v>
      </c>
      <c r="D82" s="150"/>
      <c r="E82" s="150"/>
      <c r="F82" s="150"/>
      <c r="G82" s="153"/>
      <c r="H82" s="154"/>
      <c r="I82" s="126"/>
      <c r="J82" s="93"/>
      <c r="K82" s="93"/>
      <c r="L82" s="93"/>
      <c r="M82" s="100"/>
      <c r="N82" s="125"/>
      <c r="O82" s="126"/>
      <c r="P82" s="100"/>
      <c r="Q82" s="100"/>
      <c r="R82" s="93"/>
    </row>
    <row r="83" spans="2:18" ht="12.75">
      <c r="B83" s="153" t="s">
        <v>78</v>
      </c>
      <c r="C83" s="154" t="s">
        <v>79</v>
      </c>
      <c r="D83" s="150"/>
      <c r="E83" s="150"/>
      <c r="F83" s="150"/>
      <c r="G83" s="153"/>
      <c r="H83" s="154"/>
      <c r="I83" s="126"/>
      <c r="J83" s="93"/>
      <c r="K83" s="93"/>
      <c r="L83" s="93"/>
      <c r="M83" s="100"/>
      <c r="N83" s="125"/>
      <c r="O83" s="126"/>
      <c r="P83" s="100"/>
      <c r="Q83" s="100"/>
      <c r="R83" s="93"/>
    </row>
    <row r="84" spans="2:18" ht="12.75">
      <c r="B84" s="153" t="s">
        <v>80</v>
      </c>
      <c r="C84" s="154" t="s">
        <v>81</v>
      </c>
      <c r="D84" s="150"/>
      <c r="E84" s="150"/>
      <c r="F84" s="150"/>
      <c r="G84" s="153"/>
      <c r="H84" s="154"/>
      <c r="I84" s="126"/>
      <c r="J84" s="93"/>
      <c r="K84" s="93"/>
      <c r="L84" s="93"/>
      <c r="M84" s="100"/>
      <c r="N84" s="125"/>
      <c r="O84" s="126"/>
      <c r="P84" s="100"/>
      <c r="Q84" s="100"/>
      <c r="R84" s="93"/>
    </row>
    <row r="85" spans="2:18" ht="12.75">
      <c r="B85" s="154"/>
      <c r="C85" s="154"/>
      <c r="D85" s="150"/>
      <c r="E85" s="150"/>
      <c r="F85" s="150"/>
      <c r="G85" s="153"/>
      <c r="H85" s="154"/>
      <c r="I85" s="126"/>
      <c r="J85" s="93"/>
      <c r="K85" s="93"/>
      <c r="L85" s="93"/>
      <c r="M85" s="100"/>
      <c r="N85" s="125"/>
      <c r="O85" s="126"/>
      <c r="P85" s="100"/>
      <c r="Q85" s="100"/>
      <c r="R85" s="93"/>
    </row>
    <row r="86" spans="2:18" ht="12.75">
      <c r="B86" s="151" t="s">
        <v>82</v>
      </c>
      <c r="C86" s="151"/>
      <c r="D86" s="150"/>
      <c r="E86" s="150"/>
      <c r="F86" s="150"/>
      <c r="G86" s="155"/>
      <c r="H86" s="156" t="s">
        <v>83</v>
      </c>
      <c r="I86" s="126"/>
      <c r="J86" s="93"/>
      <c r="K86" s="93"/>
      <c r="L86" s="93"/>
      <c r="M86" s="100"/>
      <c r="N86" s="125"/>
      <c r="O86" s="126"/>
      <c r="P86" s="100"/>
      <c r="Q86" s="100"/>
      <c r="R86" s="93"/>
    </row>
    <row r="87" spans="2:18" ht="12.75">
      <c r="B87" s="155" t="s">
        <v>84</v>
      </c>
      <c r="C87" s="154" t="s">
        <v>85</v>
      </c>
      <c r="D87" s="150"/>
      <c r="E87" s="150"/>
      <c r="F87" s="150"/>
      <c r="G87" s="153" t="s">
        <v>86</v>
      </c>
      <c r="H87" s="154" t="s">
        <v>87</v>
      </c>
      <c r="I87" s="126"/>
      <c r="J87" s="93"/>
      <c r="K87" s="93"/>
      <c r="L87" s="93"/>
      <c r="M87" s="100"/>
      <c r="N87" s="125"/>
      <c r="O87" s="126"/>
      <c r="P87" s="100"/>
      <c r="Q87" s="100"/>
      <c r="R87" s="93"/>
    </row>
    <row r="88" spans="2:18" ht="12.75">
      <c r="B88" s="155" t="s">
        <v>88</v>
      </c>
      <c r="C88" s="154" t="s">
        <v>89</v>
      </c>
      <c r="D88" s="150"/>
      <c r="E88" s="150"/>
      <c r="F88" s="150"/>
      <c r="G88" s="153" t="s">
        <v>90</v>
      </c>
      <c r="H88" s="154" t="s">
        <v>91</v>
      </c>
      <c r="I88" s="126"/>
      <c r="J88" s="93"/>
      <c r="K88" s="93"/>
      <c r="L88" s="93"/>
      <c r="M88" s="100"/>
      <c r="N88" s="125"/>
      <c r="O88" s="126"/>
      <c r="P88" s="100"/>
      <c r="Q88" s="100"/>
      <c r="R88" s="93"/>
    </row>
    <row r="89" spans="2:18" ht="12.75">
      <c r="B89" s="155" t="s">
        <v>92</v>
      </c>
      <c r="C89" s="154" t="s">
        <v>93</v>
      </c>
      <c r="D89" s="150"/>
      <c r="E89" s="150"/>
      <c r="F89" s="150"/>
      <c r="G89" s="153" t="s">
        <v>94</v>
      </c>
      <c r="H89" s="154" t="s">
        <v>95</v>
      </c>
      <c r="I89" s="126"/>
      <c r="J89" s="93"/>
      <c r="K89" s="93"/>
      <c r="L89" s="93"/>
      <c r="M89" s="100"/>
      <c r="N89" s="125"/>
      <c r="O89" s="126"/>
      <c r="P89" s="100"/>
      <c r="Q89" s="100"/>
      <c r="R89" s="93"/>
    </row>
    <row r="90" spans="2:18" ht="12.75">
      <c r="B90" s="155" t="s">
        <v>96</v>
      </c>
      <c r="C90" s="154" t="s">
        <v>97</v>
      </c>
      <c r="D90" s="150"/>
      <c r="E90" s="150"/>
      <c r="F90" s="150"/>
      <c r="G90" s="153"/>
      <c r="H90" s="154" t="s">
        <v>98</v>
      </c>
      <c r="I90" s="126"/>
      <c r="J90" s="93"/>
      <c r="K90" s="93"/>
      <c r="L90" s="93"/>
      <c r="M90" s="100"/>
      <c r="N90" s="125"/>
      <c r="O90" s="126"/>
      <c r="P90" s="100"/>
      <c r="Q90" s="100"/>
      <c r="R90" s="93"/>
    </row>
    <row r="91" spans="2:18" ht="12.75">
      <c r="B91" s="155" t="s">
        <v>66</v>
      </c>
      <c r="C91" s="154" t="s">
        <v>99</v>
      </c>
      <c r="D91" s="150"/>
      <c r="E91" s="150"/>
      <c r="F91" s="150"/>
      <c r="G91" s="153" t="s">
        <v>70</v>
      </c>
      <c r="H91" s="154" t="s">
        <v>100</v>
      </c>
      <c r="I91" s="126"/>
      <c r="J91" s="93"/>
      <c r="K91" s="93"/>
      <c r="L91" s="93"/>
      <c r="M91" s="100"/>
      <c r="N91" s="125"/>
      <c r="O91" s="126"/>
      <c r="P91" s="100"/>
      <c r="Q91" s="100"/>
      <c r="R91" s="93"/>
    </row>
    <row r="92" spans="2:18" ht="12.75">
      <c r="B92" s="155" t="s">
        <v>101</v>
      </c>
      <c r="C92" s="154" t="s">
        <v>102</v>
      </c>
      <c r="D92" s="150"/>
      <c r="E92" s="150"/>
      <c r="F92" s="150"/>
      <c r="G92" s="153" t="s">
        <v>67</v>
      </c>
      <c r="H92" s="154" t="s">
        <v>103</v>
      </c>
      <c r="I92" s="126"/>
      <c r="J92" s="93"/>
      <c r="K92" s="93"/>
      <c r="L92" s="93"/>
      <c r="M92" s="100"/>
      <c r="N92" s="125"/>
      <c r="O92" s="126"/>
      <c r="P92" s="100"/>
      <c r="Q92" s="100"/>
      <c r="R92" s="93"/>
    </row>
    <row r="93" spans="2:18" ht="12.75">
      <c r="B93" s="155" t="s">
        <v>104</v>
      </c>
      <c r="C93" s="154" t="s">
        <v>105</v>
      </c>
      <c r="D93" s="150"/>
      <c r="E93" s="150"/>
      <c r="F93" s="150"/>
      <c r="G93" s="153" t="s">
        <v>106</v>
      </c>
      <c r="H93" s="154" t="s">
        <v>107</v>
      </c>
      <c r="I93" s="126"/>
      <c r="J93" s="93"/>
      <c r="K93" s="93"/>
      <c r="L93" s="93"/>
      <c r="M93" s="100"/>
      <c r="N93" s="125"/>
      <c r="O93" s="126"/>
      <c r="P93" s="100"/>
      <c r="Q93" s="100"/>
      <c r="R93" s="93"/>
    </row>
    <row r="94" spans="2:18" ht="12.75">
      <c r="B94" s="155" t="s">
        <v>108</v>
      </c>
      <c r="C94" s="154" t="s">
        <v>109</v>
      </c>
      <c r="D94" s="150"/>
      <c r="E94" s="150"/>
      <c r="F94" s="150"/>
      <c r="G94" s="153" t="s">
        <v>110</v>
      </c>
      <c r="H94" s="154" t="s">
        <v>111</v>
      </c>
      <c r="I94" s="126"/>
      <c r="J94" s="93"/>
      <c r="K94" s="93"/>
      <c r="L94" s="93"/>
      <c r="M94" s="100"/>
      <c r="N94" s="125"/>
      <c r="O94" s="126"/>
      <c r="P94" s="100"/>
      <c r="Q94" s="100"/>
      <c r="R94" s="93"/>
    </row>
    <row r="95" spans="2:18" ht="12.75">
      <c r="B95" s="155" t="s">
        <v>112</v>
      </c>
      <c r="C95" s="154" t="s">
        <v>113</v>
      </c>
      <c r="D95" s="150"/>
      <c r="E95" s="150"/>
      <c r="F95" s="150"/>
      <c r="G95" s="153" t="s">
        <v>114</v>
      </c>
      <c r="H95" s="154" t="s">
        <v>115</v>
      </c>
      <c r="I95" s="126"/>
      <c r="J95" s="93"/>
      <c r="K95" s="93"/>
      <c r="L95" s="93"/>
      <c r="M95" s="100"/>
      <c r="N95" s="125"/>
      <c r="O95" s="126"/>
      <c r="P95" s="100"/>
      <c r="Q95" s="100"/>
      <c r="R95" s="93"/>
    </row>
    <row r="96" spans="2:18" ht="12.75">
      <c r="B96" s="155" t="s">
        <v>116</v>
      </c>
      <c r="C96" s="154" t="s">
        <v>117</v>
      </c>
      <c r="D96" s="150"/>
      <c r="E96" s="150"/>
      <c r="F96" s="150"/>
      <c r="G96" s="153" t="s">
        <v>118</v>
      </c>
      <c r="H96" s="154" t="s">
        <v>119</v>
      </c>
      <c r="I96" s="126"/>
      <c r="J96" s="93"/>
      <c r="K96" s="93"/>
      <c r="L96" s="93"/>
      <c r="M96" s="100"/>
      <c r="N96" s="125"/>
      <c r="O96" s="126"/>
      <c r="P96" s="100"/>
      <c r="Q96" s="100"/>
      <c r="R96" s="93"/>
    </row>
    <row r="97" spans="2:18" ht="12.75">
      <c r="B97" s="155" t="s">
        <v>120</v>
      </c>
      <c r="C97" s="154" t="s">
        <v>121</v>
      </c>
      <c r="D97" s="150"/>
      <c r="E97" s="150"/>
      <c r="F97" s="150"/>
      <c r="G97" s="153" t="s">
        <v>122</v>
      </c>
      <c r="H97" s="154" t="s">
        <v>123</v>
      </c>
      <c r="I97" s="126"/>
      <c r="J97" s="93"/>
      <c r="K97" s="93"/>
      <c r="L97" s="93"/>
      <c r="M97" s="100"/>
      <c r="N97" s="125"/>
      <c r="O97" s="126"/>
      <c r="P97" s="100"/>
      <c r="Q97" s="100"/>
      <c r="R97" s="93"/>
    </row>
    <row r="98" spans="2:18" ht="12.75">
      <c r="B98" s="155" t="s">
        <v>124</v>
      </c>
      <c r="C98" s="154" t="s">
        <v>125</v>
      </c>
      <c r="D98" s="150"/>
      <c r="E98" s="150"/>
      <c r="F98" s="150"/>
      <c r="G98" s="153" t="s">
        <v>126</v>
      </c>
      <c r="H98" s="154" t="s">
        <v>127</v>
      </c>
      <c r="I98" s="126"/>
      <c r="J98" s="93"/>
      <c r="K98" s="93"/>
      <c r="L98" s="93"/>
      <c r="M98" s="100"/>
      <c r="N98" s="125"/>
      <c r="O98" s="126"/>
      <c r="P98" s="100"/>
      <c r="Q98" s="100"/>
      <c r="R98" s="93"/>
    </row>
    <row r="99" spans="2:18" ht="12.75">
      <c r="B99" s="155" t="s">
        <v>128</v>
      </c>
      <c r="C99" s="154" t="s">
        <v>129</v>
      </c>
      <c r="D99" s="150"/>
      <c r="E99" s="150"/>
      <c r="F99" s="150"/>
      <c r="G99" s="153" t="s">
        <v>130</v>
      </c>
      <c r="H99" s="154" t="s">
        <v>131</v>
      </c>
      <c r="I99" s="126"/>
      <c r="J99" s="93"/>
      <c r="K99" s="93"/>
      <c r="L99" s="93"/>
      <c r="M99" s="100"/>
      <c r="N99" s="125"/>
      <c r="O99" s="126"/>
      <c r="P99" s="100"/>
      <c r="Q99" s="100"/>
      <c r="R99" s="93"/>
    </row>
    <row r="100" spans="2:18" ht="12.75">
      <c r="B100" s="155" t="s">
        <v>132</v>
      </c>
      <c r="C100" s="154" t="s">
        <v>133</v>
      </c>
      <c r="D100" s="150"/>
      <c r="E100" s="150"/>
      <c r="F100" s="150"/>
      <c r="G100" s="153"/>
      <c r="H100" s="154" t="s">
        <v>134</v>
      </c>
      <c r="I100" s="126"/>
      <c r="J100" s="93"/>
      <c r="K100" s="93"/>
      <c r="L100" s="93"/>
      <c r="M100" s="100"/>
      <c r="N100" s="125"/>
      <c r="O100" s="126"/>
      <c r="P100" s="100"/>
      <c r="Q100" s="100"/>
      <c r="R100" s="93"/>
    </row>
    <row r="101" spans="2:18" ht="12.75">
      <c r="B101" s="155" t="s">
        <v>135</v>
      </c>
      <c r="C101" s="154" t="s">
        <v>136</v>
      </c>
      <c r="D101" s="150"/>
      <c r="E101" s="150"/>
      <c r="F101" s="150"/>
      <c r="G101" s="153"/>
      <c r="H101" s="154" t="s">
        <v>137</v>
      </c>
      <c r="I101" s="126"/>
      <c r="J101" s="93"/>
      <c r="K101" s="93"/>
      <c r="L101" s="93"/>
      <c r="M101" s="100"/>
      <c r="N101" s="126"/>
      <c r="O101" s="126"/>
      <c r="P101" s="100"/>
      <c r="Q101" s="100"/>
      <c r="R101" s="93"/>
    </row>
    <row r="102" spans="2:18" ht="12.75">
      <c r="B102" s="151"/>
      <c r="C102" s="154"/>
      <c r="D102" s="150"/>
      <c r="E102" s="150"/>
      <c r="F102" s="150"/>
      <c r="G102" s="153"/>
      <c r="H102" s="154" t="s">
        <v>138</v>
      </c>
      <c r="I102" s="126"/>
      <c r="J102" s="93"/>
      <c r="K102" s="93"/>
      <c r="L102" s="93"/>
      <c r="M102" s="100"/>
      <c r="N102" s="100"/>
      <c r="O102" s="126"/>
      <c r="P102" s="126"/>
      <c r="Q102" s="100"/>
      <c r="R102" s="93"/>
    </row>
    <row r="103" spans="2:18" ht="12.75">
      <c r="B103" s="153"/>
      <c r="C103" s="154"/>
      <c r="D103" s="150"/>
      <c r="E103" s="150"/>
      <c r="F103" s="150"/>
      <c r="G103" s="153" t="s">
        <v>139</v>
      </c>
      <c r="H103" s="154" t="s">
        <v>140</v>
      </c>
      <c r="I103" s="126"/>
      <c r="J103" s="93"/>
      <c r="K103" s="93"/>
      <c r="L103" s="93"/>
      <c r="M103" s="100"/>
      <c r="N103" s="100"/>
      <c r="O103" s="100"/>
      <c r="P103" s="100"/>
      <c r="Q103" s="100"/>
      <c r="R103" s="93"/>
    </row>
    <row r="104" spans="2:18" ht="12.75">
      <c r="B104" s="153"/>
      <c r="C104" s="154"/>
      <c r="D104" s="150"/>
      <c r="E104" s="150"/>
      <c r="F104" s="150"/>
      <c r="G104" s="153"/>
      <c r="H104" s="154" t="s">
        <v>141</v>
      </c>
      <c r="I104" s="126"/>
      <c r="J104" s="93"/>
      <c r="K104" s="93"/>
      <c r="L104" s="93"/>
      <c r="M104" s="100"/>
      <c r="N104" s="100"/>
      <c r="O104" s="100"/>
      <c r="P104" s="100"/>
      <c r="Q104" s="100"/>
      <c r="R104" s="93"/>
    </row>
    <row r="105" spans="2:18" ht="12.75">
      <c r="B105" s="153"/>
      <c r="C105" s="154"/>
      <c r="D105" s="150"/>
      <c r="E105" s="150"/>
      <c r="F105" s="150"/>
      <c r="G105" s="153" t="s">
        <v>142</v>
      </c>
      <c r="H105" s="154" t="s">
        <v>143</v>
      </c>
      <c r="I105" s="126"/>
      <c r="J105" s="93"/>
      <c r="K105" s="93"/>
      <c r="L105" s="93"/>
      <c r="M105" s="100"/>
      <c r="N105" s="100"/>
      <c r="O105" s="100"/>
      <c r="P105" s="100"/>
      <c r="Q105" s="100"/>
      <c r="R105" s="93"/>
    </row>
    <row r="106" spans="2:8" ht="12">
      <c r="B106" s="150"/>
      <c r="C106" s="150"/>
      <c r="D106" s="150"/>
      <c r="E106" s="150"/>
      <c r="F106" s="150"/>
      <c r="G106" s="157" t="s">
        <v>144</v>
      </c>
      <c r="H106" s="150" t="s">
        <v>145</v>
      </c>
    </row>
    <row r="107" ht="12"/>
    <row r="108" ht="12"/>
  </sheetData>
  <sheetProtection password="EFA6" sheet="1" selectLockedCells="1"/>
  <mergeCells count="222">
    <mergeCell ref="Q1:R1"/>
    <mergeCell ref="N69:O69"/>
    <mergeCell ref="N70:O70"/>
    <mergeCell ref="A69:C69"/>
    <mergeCell ref="A64:C64"/>
    <mergeCell ref="D64:E64"/>
    <mergeCell ref="I68:K68"/>
    <mergeCell ref="N64:O64"/>
    <mergeCell ref="G69:H69"/>
    <mergeCell ref="I69:K69"/>
    <mergeCell ref="G67:H67"/>
    <mergeCell ref="D72:F72"/>
    <mergeCell ref="G72:H72"/>
    <mergeCell ref="I72:K72"/>
    <mergeCell ref="A61:C61"/>
    <mergeCell ref="D61:F61"/>
    <mergeCell ref="G61:H61"/>
    <mergeCell ref="D62:F62"/>
    <mergeCell ref="G68:H68"/>
    <mergeCell ref="D67:F67"/>
    <mergeCell ref="I67:K67"/>
    <mergeCell ref="A70:C70"/>
    <mergeCell ref="D69:F69"/>
    <mergeCell ref="N47:R47"/>
    <mergeCell ref="N54:R54"/>
    <mergeCell ref="H54:I54"/>
    <mergeCell ref="N52:R52"/>
    <mergeCell ref="A60:C60"/>
    <mergeCell ref="A53:C53"/>
    <mergeCell ref="N53:R53"/>
    <mergeCell ref="A57:R57"/>
    <mergeCell ref="M58:O58"/>
    <mergeCell ref="I61:K61"/>
    <mergeCell ref="L76:O77"/>
    <mergeCell ref="D65:F65"/>
    <mergeCell ref="A75:E77"/>
    <mergeCell ref="F75:I75"/>
    <mergeCell ref="F76:G77"/>
    <mergeCell ref="N67:O67"/>
    <mergeCell ref="A72:C72"/>
    <mergeCell ref="J76:J77"/>
    <mergeCell ref="P76:R77"/>
    <mergeCell ref="N65:O65"/>
    <mergeCell ref="N66:O66"/>
    <mergeCell ref="N59:O59"/>
    <mergeCell ref="N63:O63"/>
    <mergeCell ref="P72:R72"/>
    <mergeCell ref="K75:R75"/>
    <mergeCell ref="N68:O68"/>
    <mergeCell ref="M72:O72"/>
    <mergeCell ref="I62:K62"/>
    <mergeCell ref="P18:R18"/>
    <mergeCell ref="N29:O29"/>
    <mergeCell ref="A35:C35"/>
    <mergeCell ref="A31:C31"/>
    <mergeCell ref="A32:C32"/>
    <mergeCell ref="P35:R35"/>
    <mergeCell ref="N35:O35"/>
    <mergeCell ref="A19:C19"/>
    <mergeCell ref="A18:C18"/>
    <mergeCell ref="A26:C26"/>
    <mergeCell ref="N31:O31"/>
    <mergeCell ref="N34:O34"/>
    <mergeCell ref="P32:R32"/>
    <mergeCell ref="P29:R29"/>
    <mergeCell ref="P27:R27"/>
    <mergeCell ref="P28:R28"/>
    <mergeCell ref="K28:M28"/>
    <mergeCell ref="A29:C29"/>
    <mergeCell ref="B40:R42"/>
    <mergeCell ref="P31:R31"/>
    <mergeCell ref="P30:R30"/>
    <mergeCell ref="P34:R34"/>
    <mergeCell ref="P33:R33"/>
    <mergeCell ref="K32:M32"/>
    <mergeCell ref="N32:O32"/>
    <mergeCell ref="K31:M31"/>
    <mergeCell ref="B38:S39"/>
    <mergeCell ref="K34:M34"/>
    <mergeCell ref="N48:R48"/>
    <mergeCell ref="A46:C46"/>
    <mergeCell ref="D46:G46"/>
    <mergeCell ref="H46:I46"/>
    <mergeCell ref="J46:M46"/>
    <mergeCell ref="A48:C48"/>
    <mergeCell ref="N46:R46"/>
    <mergeCell ref="J47:M47"/>
    <mergeCell ref="A67:C67"/>
    <mergeCell ref="A68:C68"/>
    <mergeCell ref="D68:F68"/>
    <mergeCell ref="D49:G49"/>
    <mergeCell ref="G60:H60"/>
    <mergeCell ref="D60:F60"/>
    <mergeCell ref="D54:G54"/>
    <mergeCell ref="A54:C54"/>
    <mergeCell ref="A52:C52"/>
    <mergeCell ref="D52:G52"/>
    <mergeCell ref="N51:R51"/>
    <mergeCell ref="N50:R50"/>
    <mergeCell ref="N49:R49"/>
    <mergeCell ref="G65:H65"/>
    <mergeCell ref="N60:O60"/>
    <mergeCell ref="N61:O61"/>
    <mergeCell ref="N62:O62"/>
    <mergeCell ref="I64:J64"/>
    <mergeCell ref="J50:M50"/>
    <mergeCell ref="J54:M54"/>
    <mergeCell ref="I66:K66"/>
    <mergeCell ref="A65:C65"/>
    <mergeCell ref="A66:C66"/>
    <mergeCell ref="G63:H63"/>
    <mergeCell ref="I63:K63"/>
    <mergeCell ref="I65:K65"/>
    <mergeCell ref="A63:C63"/>
    <mergeCell ref="D63:F63"/>
    <mergeCell ref="G66:H66"/>
    <mergeCell ref="A14:C14"/>
    <mergeCell ref="A45:R45"/>
    <mergeCell ref="N27:O27"/>
    <mergeCell ref="A28:C28"/>
    <mergeCell ref="G62:H62"/>
    <mergeCell ref="A62:C62"/>
    <mergeCell ref="G58:K58"/>
    <mergeCell ref="A33:C33"/>
    <mergeCell ref="A34:C34"/>
    <mergeCell ref="A27:C27"/>
    <mergeCell ref="M7:M8"/>
    <mergeCell ref="I7:I8"/>
    <mergeCell ref="F6:F8"/>
    <mergeCell ref="A17:C17"/>
    <mergeCell ref="A15:C15"/>
    <mergeCell ref="A10:C10"/>
    <mergeCell ref="A12:C12"/>
    <mergeCell ref="A11:C11"/>
    <mergeCell ref="A13:C13"/>
    <mergeCell ref="A16:C16"/>
    <mergeCell ref="P7:R8"/>
    <mergeCell ref="J7:J8"/>
    <mergeCell ref="J6:K6"/>
    <mergeCell ref="K7:K8"/>
    <mergeCell ref="J22:M23"/>
    <mergeCell ref="A6:C7"/>
    <mergeCell ref="A8:B8"/>
    <mergeCell ref="G7:G8"/>
    <mergeCell ref="H7:H8"/>
    <mergeCell ref="D6:E7"/>
    <mergeCell ref="P15:R15"/>
    <mergeCell ref="P14:R14"/>
    <mergeCell ref="G6:I6"/>
    <mergeCell ref="N7:N8"/>
    <mergeCell ref="O7:O8"/>
    <mergeCell ref="P13:R13"/>
    <mergeCell ref="P10:R10"/>
    <mergeCell ref="P12:R12"/>
    <mergeCell ref="P11:R11"/>
    <mergeCell ref="M6:R6"/>
    <mergeCell ref="P17:R17"/>
    <mergeCell ref="P16:R16"/>
    <mergeCell ref="D22:G23"/>
    <mergeCell ref="P19:R19"/>
    <mergeCell ref="P26:R26"/>
    <mergeCell ref="N22:R23"/>
    <mergeCell ref="P24:R24"/>
    <mergeCell ref="K26:M26"/>
    <mergeCell ref="H22:I23"/>
    <mergeCell ref="A22:C23"/>
    <mergeCell ref="A30:C30"/>
    <mergeCell ref="N26:O26"/>
    <mergeCell ref="A24:C24"/>
    <mergeCell ref="K24:M24"/>
    <mergeCell ref="N24:O24"/>
    <mergeCell ref="N28:O28"/>
    <mergeCell ref="K29:M29"/>
    <mergeCell ref="K30:M30"/>
    <mergeCell ref="K27:M27"/>
    <mergeCell ref="A51:C51"/>
    <mergeCell ref="D51:G51"/>
    <mergeCell ref="H51:I51"/>
    <mergeCell ref="J51:M51"/>
    <mergeCell ref="H52:I52"/>
    <mergeCell ref="J48:M48"/>
    <mergeCell ref="H49:I49"/>
    <mergeCell ref="J49:M49"/>
    <mergeCell ref="H48:I48"/>
    <mergeCell ref="A49:C49"/>
    <mergeCell ref="A50:C50"/>
    <mergeCell ref="D50:G50"/>
    <mergeCell ref="H50:I50"/>
    <mergeCell ref="A47:C47"/>
    <mergeCell ref="D47:G47"/>
    <mergeCell ref="H47:I47"/>
    <mergeCell ref="D48:G48"/>
    <mergeCell ref="H76:H77"/>
    <mergeCell ref="I76:I77"/>
    <mergeCell ref="D53:G53"/>
    <mergeCell ref="H53:I53"/>
    <mergeCell ref="G70:H70"/>
    <mergeCell ref="I70:K70"/>
    <mergeCell ref="D66:F66"/>
    <mergeCell ref="D70:F70"/>
    <mergeCell ref="I59:J59"/>
    <mergeCell ref="I60:K60"/>
    <mergeCell ref="A58:C59"/>
    <mergeCell ref="D58:E58"/>
    <mergeCell ref="D59:E59"/>
    <mergeCell ref="F2:G2"/>
    <mergeCell ref="G3:I3"/>
    <mergeCell ref="H2:R2"/>
    <mergeCell ref="J3:K3"/>
    <mergeCell ref="M3:R3"/>
    <mergeCell ref="N4:P4"/>
    <mergeCell ref="Q4:R4"/>
    <mergeCell ref="C79:S80"/>
    <mergeCell ref="F4:H4"/>
    <mergeCell ref="I4:M4"/>
    <mergeCell ref="N30:O30"/>
    <mergeCell ref="P58:Q58"/>
    <mergeCell ref="J53:M53"/>
    <mergeCell ref="J52:M52"/>
    <mergeCell ref="K35:M35"/>
    <mergeCell ref="K33:M33"/>
    <mergeCell ref="N33:O33"/>
  </mergeCells>
  <printOptions/>
  <pageMargins left="0.3937007874015748" right="0.1968503937007874" top="0.3937007874015748" bottom="0.5905511811023623" header="0" footer="0"/>
  <pageSetup horizontalDpi="600" verticalDpi="600" orientation="portrait" paperSize="9" scale="62" r:id="rId3"/>
  <headerFooter alignWithMargins="0">
    <oddFooter>&amp;R&amp;F
&amp;P de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Hoja2"/>
  <dimension ref="A2:N61"/>
  <sheetViews>
    <sheetView zoomScalePageLayoutView="0" workbookViewId="0" topLeftCell="A13">
      <selection activeCell="B52" sqref="B52"/>
    </sheetView>
  </sheetViews>
  <sheetFormatPr defaultColWidth="11.421875" defaultRowHeight="12.75"/>
  <cols>
    <col min="2" max="2" width="18.8515625" style="95" customWidth="1"/>
    <col min="3" max="3" width="18.00390625" style="114" customWidth="1"/>
    <col min="4" max="4" width="15.00390625" style="96" customWidth="1"/>
    <col min="5" max="5" width="10.8515625" style="96" customWidth="1"/>
    <col min="6" max="6" width="2.57421875" style="0" customWidth="1"/>
    <col min="7" max="7" width="15.00390625" style="94" customWidth="1"/>
    <col min="11" max="11" width="11.421875" style="97" customWidth="1"/>
  </cols>
  <sheetData>
    <row r="2" ht="12.75">
      <c r="B2" s="95">
        <v>1</v>
      </c>
    </row>
    <row r="3" ht="13.5" thickBot="1"/>
    <row r="4" spans="1:14" ht="12.75">
      <c r="A4">
        <v>0.0365</v>
      </c>
      <c r="B4" s="101">
        <f>$B$2*0.062</f>
        <v>0.062</v>
      </c>
      <c r="C4" s="115">
        <f>$B$2*84/1000</f>
        <v>0.084</v>
      </c>
      <c r="D4" s="102">
        <f>B4/A4</f>
        <v>1.6986301369863015</v>
      </c>
      <c r="E4" s="102">
        <f>(D4+D15)/2</f>
        <v>1.6993150684931506</v>
      </c>
      <c r="G4" s="94">
        <f>C4/B4</f>
        <v>1.3548387096774195</v>
      </c>
      <c r="H4" s="94">
        <f>B4/A4</f>
        <v>1.6986301369863015</v>
      </c>
      <c r="I4">
        <f>(G4+G15+G26)/3</f>
        <v>1.3537640549486314</v>
      </c>
      <c r="J4">
        <f>(H4+H15+H26)/3</f>
        <v>1.6995433789954337</v>
      </c>
      <c r="K4" s="97">
        <f>I4-G4</f>
        <v>-0.0010746547287880936</v>
      </c>
      <c r="M4">
        <f>(G4+G15)/2</f>
        <v>1.3541754941876532</v>
      </c>
      <c r="N4" s="97">
        <f>M4-G4</f>
        <v>-0.0006632154897663334</v>
      </c>
    </row>
    <row r="5" spans="1:14" ht="12.75">
      <c r="A5">
        <v>0.301</v>
      </c>
      <c r="B5" s="103">
        <f>$B$2*0.512</f>
        <v>0.512</v>
      </c>
      <c r="C5" s="116">
        <f>$B$2*542/1000</f>
        <v>0.542</v>
      </c>
      <c r="D5" s="102">
        <f aca="true" t="shared" si="0" ref="D5:D11">B5/A5</f>
        <v>1.7009966777408638</v>
      </c>
      <c r="E5" s="102"/>
      <c r="G5" s="94">
        <f aca="true" t="shared" si="1" ref="G5:G11">C5/B5</f>
        <v>1.05859375</v>
      </c>
      <c r="H5" s="94">
        <f aca="true" t="shared" si="2" ref="H5:H11">B5/A5</f>
        <v>1.7009966777408638</v>
      </c>
      <c r="I5">
        <f aca="true" t="shared" si="3" ref="I5:J11">(G5+G16+G27)/3</f>
        <v>0.7557512935729848</v>
      </c>
      <c r="J5">
        <f t="shared" si="3"/>
        <v>1.6741783797597751</v>
      </c>
      <c r="K5" s="97">
        <f aca="true" t="shared" si="4" ref="K5:K11">I5-G5</f>
        <v>-0.30284245642701524</v>
      </c>
      <c r="M5">
        <f aca="true" t="shared" si="5" ref="M5:M11">(G5+G16)/2</f>
        <v>0.9711269403594771</v>
      </c>
      <c r="N5" s="97">
        <f aca="true" t="shared" si="6" ref="N5:N11">M5-G5</f>
        <v>-0.08746680964052289</v>
      </c>
    </row>
    <row r="6" spans="1:14" ht="12.75">
      <c r="A6">
        <v>0.0046</v>
      </c>
      <c r="B6" s="103">
        <f>$B$2*0.008</f>
        <v>0.008</v>
      </c>
      <c r="C6" s="116">
        <f>$B$2*4/1000</f>
        <v>0.004</v>
      </c>
      <c r="D6" s="102">
        <f t="shared" si="0"/>
        <v>1.7391304347826089</v>
      </c>
      <c r="E6" s="102"/>
      <c r="G6" s="94">
        <f t="shared" si="1"/>
        <v>0.5</v>
      </c>
      <c r="H6" s="94">
        <f t="shared" si="2"/>
        <v>1.7391304347826089</v>
      </c>
      <c r="I6">
        <f t="shared" si="3"/>
        <v>2.3666666666666667</v>
      </c>
      <c r="J6">
        <f t="shared" si="3"/>
        <v>1.7022760097614424</v>
      </c>
      <c r="K6" s="97">
        <f t="shared" si="4"/>
        <v>1.8666666666666667</v>
      </c>
      <c r="M6">
        <f t="shared" si="5"/>
        <v>0.55</v>
      </c>
      <c r="N6" s="97">
        <f t="shared" si="6"/>
        <v>0.050000000000000044</v>
      </c>
    </row>
    <row r="7" spans="1:14" ht="12.75">
      <c r="A7">
        <v>0.048</v>
      </c>
      <c r="B7" s="103">
        <f>$B$2*0.082</f>
        <v>0.082</v>
      </c>
      <c r="C7" s="116">
        <f>$B$2*52/1000</f>
        <v>0.052</v>
      </c>
      <c r="D7" s="102">
        <f t="shared" si="0"/>
        <v>1.7083333333333333</v>
      </c>
      <c r="E7" s="102"/>
      <c r="G7" s="94">
        <f t="shared" si="1"/>
        <v>0.6341463414634145</v>
      </c>
      <c r="H7" s="94">
        <f t="shared" si="2"/>
        <v>1.7083333333333333</v>
      </c>
      <c r="I7">
        <f t="shared" si="3"/>
        <v>1.191209203158314</v>
      </c>
      <c r="J7">
        <f t="shared" si="3"/>
        <v>1.7034313725490196</v>
      </c>
      <c r="K7" s="97">
        <f t="shared" si="4"/>
        <v>0.5570628616948994</v>
      </c>
      <c r="M7">
        <f t="shared" si="5"/>
        <v>1.051943487734589</v>
      </c>
      <c r="N7" s="97">
        <f t="shared" si="6"/>
        <v>0.4177971462711745</v>
      </c>
    </row>
    <row r="8" spans="1:14" ht="12.75">
      <c r="A8">
        <v>0.0005</v>
      </c>
      <c r="B8" s="103">
        <f>$B$2*0.0009</f>
        <v>0.0009</v>
      </c>
      <c r="C8" s="116">
        <f>$B$2*4/1000</f>
        <v>0.004</v>
      </c>
      <c r="D8" s="102">
        <f t="shared" si="0"/>
        <v>1.7999999999999998</v>
      </c>
      <c r="E8" s="102"/>
      <c r="G8" s="94">
        <f t="shared" si="1"/>
        <v>4.444444444444445</v>
      </c>
      <c r="H8" s="94">
        <f t="shared" si="2"/>
        <v>1.7999999999999998</v>
      </c>
      <c r="I8">
        <f t="shared" si="3"/>
        <v>4.492374727668845</v>
      </c>
      <c r="J8">
        <f t="shared" si="3"/>
        <v>1.7380952380952381</v>
      </c>
      <c r="K8" s="97">
        <f t="shared" si="4"/>
        <v>0.047930283224400405</v>
      </c>
      <c r="M8">
        <f t="shared" si="5"/>
        <v>4.444444444444445</v>
      </c>
      <c r="N8" s="97">
        <f t="shared" si="6"/>
        <v>0</v>
      </c>
    </row>
    <row r="9" spans="1:14" ht="12.75">
      <c r="A9">
        <v>0.039</v>
      </c>
      <c r="B9" s="103">
        <f>$B$2*0.0663</f>
        <v>0.0663</v>
      </c>
      <c r="C9" s="116">
        <f>$B$2*23/1000</f>
        <v>0.023</v>
      </c>
      <c r="D9" s="102">
        <f t="shared" si="0"/>
        <v>1.7</v>
      </c>
      <c r="E9" s="102"/>
      <c r="G9" s="94">
        <f t="shared" si="1"/>
        <v>0.3469079939668175</v>
      </c>
      <c r="H9" s="94">
        <f t="shared" si="2"/>
        <v>1.7</v>
      </c>
      <c r="I9">
        <f t="shared" si="3"/>
        <v>0.355250992923083</v>
      </c>
      <c r="J9">
        <f t="shared" si="3"/>
        <v>1.6911027568922306</v>
      </c>
      <c r="K9" s="97">
        <f t="shared" si="4"/>
        <v>0.008342998956265502</v>
      </c>
      <c r="M9">
        <f t="shared" si="5"/>
        <v>0.35430506081319596</v>
      </c>
      <c r="N9" s="97">
        <f t="shared" si="6"/>
        <v>0.007397066846378475</v>
      </c>
    </row>
    <row r="10" spans="1:14" ht="12.75">
      <c r="A10">
        <v>0.0002</v>
      </c>
      <c r="B10" s="103">
        <f>$B$2*0.0004</f>
        <v>0.0004</v>
      </c>
      <c r="C10" s="116">
        <f>$B$2*0.6/1000</f>
        <v>0.0006</v>
      </c>
      <c r="D10" s="102">
        <f t="shared" si="0"/>
        <v>2</v>
      </c>
      <c r="E10" s="102"/>
      <c r="G10" s="94">
        <f t="shared" si="1"/>
        <v>1.4999999999999998</v>
      </c>
      <c r="H10" s="94">
        <f t="shared" si="2"/>
        <v>2</v>
      </c>
      <c r="I10">
        <f t="shared" si="3"/>
        <v>1.5666666666666664</v>
      </c>
      <c r="J10">
        <f t="shared" si="3"/>
        <v>1.638888888888889</v>
      </c>
      <c r="K10" s="97">
        <f t="shared" si="4"/>
        <v>0.06666666666666665</v>
      </c>
      <c r="M10">
        <f t="shared" si="5"/>
        <v>1.5499999999999998</v>
      </c>
      <c r="N10" s="97">
        <f t="shared" si="6"/>
        <v>0.050000000000000044</v>
      </c>
    </row>
    <row r="11" spans="1:14" ht="13.5" thickBot="1">
      <c r="A11">
        <v>0.0002</v>
      </c>
      <c r="B11" s="104">
        <f>$B$2*0.0004</f>
        <v>0.0004</v>
      </c>
      <c r="C11" s="117">
        <f>$B$2*0.4/1000</f>
        <v>0.0004</v>
      </c>
      <c r="D11" s="102">
        <f t="shared" si="0"/>
        <v>2</v>
      </c>
      <c r="E11" s="102"/>
      <c r="G11" s="94">
        <f t="shared" si="1"/>
        <v>1</v>
      </c>
      <c r="H11" s="94">
        <f t="shared" si="2"/>
        <v>2</v>
      </c>
      <c r="I11">
        <f t="shared" si="3"/>
        <v>1.0476190476190477</v>
      </c>
      <c r="J11">
        <f t="shared" si="3"/>
        <v>1.9166666666666667</v>
      </c>
      <c r="K11" s="97">
        <f t="shared" si="4"/>
        <v>0.04761904761904767</v>
      </c>
      <c r="M11">
        <f t="shared" si="5"/>
        <v>1.0714285714285716</v>
      </c>
      <c r="N11" s="97">
        <f t="shared" si="6"/>
        <v>0.07142857142857162</v>
      </c>
    </row>
    <row r="12" ht="15" customHeight="1"/>
    <row r="14" ht="13.5" thickBot="1"/>
    <row r="15" spans="1:14" ht="12.75">
      <c r="A15">
        <v>0.309</v>
      </c>
      <c r="B15" s="101">
        <f>$B$2*0.5253</f>
        <v>0.5253</v>
      </c>
      <c r="C15" s="115">
        <f>$B$2*711/1000</f>
        <v>0.711</v>
      </c>
      <c r="D15" s="102">
        <f>B15/A15</f>
        <v>1.7</v>
      </c>
      <c r="E15" s="102"/>
      <c r="G15" s="94">
        <f aca="true" t="shared" si="7" ref="G15:G22">C15/B15</f>
        <v>1.3535122786978868</v>
      </c>
      <c r="H15" s="94">
        <f>B15/A15</f>
        <v>1.7</v>
      </c>
      <c r="K15" s="97">
        <f>I4-G15</f>
        <v>0.0002517762507445731</v>
      </c>
      <c r="N15" s="97">
        <f>M4-G15</f>
        <v>0.0006632154897663334</v>
      </c>
    </row>
    <row r="16" spans="1:14" ht="12.75">
      <c r="A16">
        <v>0.225</v>
      </c>
      <c r="B16" s="103">
        <f>$B$2*0.3825</f>
        <v>0.3825</v>
      </c>
      <c r="C16" s="116">
        <f>$B$2*338/1000</f>
        <v>0.338</v>
      </c>
      <c r="D16" s="102">
        <f aca="true" t="shared" si="8" ref="D16:D22">B16/A16</f>
        <v>1.7</v>
      </c>
      <c r="E16" s="102"/>
      <c r="G16" s="94">
        <f t="shared" si="7"/>
        <v>0.8836601307189543</v>
      </c>
      <c r="H16" s="94">
        <f aca="true" t="shared" si="9" ref="H16:H22">B16/A16</f>
        <v>1.7</v>
      </c>
      <c r="K16" s="97">
        <f aca="true" t="shared" si="10" ref="K16:K22">I5-G16</f>
        <v>-0.12790883714596957</v>
      </c>
      <c r="N16" s="97">
        <f aca="true" t="shared" si="11" ref="N16:N22">M5-G16</f>
        <v>0.08746680964052278</v>
      </c>
    </row>
    <row r="17" spans="1:14" ht="12.75">
      <c r="A17">
        <v>0.0097</v>
      </c>
      <c r="B17" s="103">
        <f>$B$2*0.0165</f>
        <v>0.0165</v>
      </c>
      <c r="C17" s="116">
        <f>$B$2*9.9/1000</f>
        <v>0.0099</v>
      </c>
      <c r="D17" s="102">
        <f t="shared" si="8"/>
        <v>1.7010309278350515</v>
      </c>
      <c r="E17" s="102"/>
      <c r="G17" s="94">
        <f t="shared" si="7"/>
        <v>0.6</v>
      </c>
      <c r="H17" s="94">
        <f t="shared" si="9"/>
        <v>1.7010309278350515</v>
      </c>
      <c r="K17" s="97">
        <f t="shared" si="10"/>
        <v>1.7666666666666666</v>
      </c>
      <c r="N17" s="97">
        <f t="shared" si="11"/>
        <v>-0.04999999999999993</v>
      </c>
    </row>
    <row r="18" spans="1:14" ht="12.75">
      <c r="A18">
        <v>0.0204</v>
      </c>
      <c r="B18" s="103">
        <f>$B$2*0.0347</f>
        <v>0.0347</v>
      </c>
      <c r="C18" s="116">
        <f>$B$2*51/1000</f>
        <v>0.051</v>
      </c>
      <c r="D18" s="102">
        <f t="shared" si="8"/>
        <v>1.7009803921568627</v>
      </c>
      <c r="E18" s="102"/>
      <c r="G18" s="94">
        <f t="shared" si="7"/>
        <v>1.4697406340057635</v>
      </c>
      <c r="H18" s="94">
        <f t="shared" si="9"/>
        <v>1.7009803921568627</v>
      </c>
      <c r="K18" s="97">
        <f t="shared" si="10"/>
        <v>-0.2785314308474496</v>
      </c>
      <c r="N18" s="97">
        <f t="shared" si="11"/>
        <v>-0.4177971462711745</v>
      </c>
    </row>
    <row r="19" spans="1:14" ht="12.75">
      <c r="A19">
        <v>0.0021</v>
      </c>
      <c r="B19" s="103">
        <f>$B$2*0.0036</f>
        <v>0.0036</v>
      </c>
      <c r="C19" s="116">
        <f>$B$2*16/1000</f>
        <v>0.016</v>
      </c>
      <c r="D19" s="102">
        <f t="shared" si="8"/>
        <v>1.7142857142857144</v>
      </c>
      <c r="E19" s="102"/>
      <c r="G19" s="94">
        <f t="shared" si="7"/>
        <v>4.444444444444445</v>
      </c>
      <c r="H19" s="94">
        <f t="shared" si="9"/>
        <v>1.7142857142857144</v>
      </c>
      <c r="K19" s="97">
        <f t="shared" si="10"/>
        <v>0.047930283224400405</v>
      </c>
      <c r="N19" s="97">
        <f t="shared" si="11"/>
        <v>0</v>
      </c>
    </row>
    <row r="20" spans="1:14" ht="12.75">
      <c r="A20">
        <v>0.0028</v>
      </c>
      <c r="B20" s="103">
        <f>$B$2*0.0047</f>
        <v>0.0047</v>
      </c>
      <c r="C20" s="116">
        <f>$B$2*1.7/1000</f>
        <v>0.0017</v>
      </c>
      <c r="D20" s="102">
        <f t="shared" si="8"/>
        <v>1.6785714285714286</v>
      </c>
      <c r="E20" s="102"/>
      <c r="G20" s="94">
        <f t="shared" si="7"/>
        <v>0.36170212765957444</v>
      </c>
      <c r="H20" s="94">
        <f t="shared" si="9"/>
        <v>1.6785714285714286</v>
      </c>
      <c r="K20" s="97">
        <f t="shared" si="10"/>
        <v>-0.006451134736491448</v>
      </c>
      <c r="N20" s="97">
        <f t="shared" si="11"/>
        <v>-0.007397066846378475</v>
      </c>
    </row>
    <row r="21" spans="1:14" ht="12.75">
      <c r="A21">
        <v>0.0008</v>
      </c>
      <c r="B21" s="103">
        <f>$B$2*0.001</f>
        <v>0.001</v>
      </c>
      <c r="C21" s="116">
        <f>$B$2*1.6/1000</f>
        <v>0.0016</v>
      </c>
      <c r="D21" s="102">
        <f t="shared" si="8"/>
        <v>1.25</v>
      </c>
      <c r="E21" s="102"/>
      <c r="G21" s="94">
        <f t="shared" si="7"/>
        <v>1.6</v>
      </c>
      <c r="H21" s="94">
        <f t="shared" si="9"/>
        <v>1.25</v>
      </c>
      <c r="K21" s="97">
        <f t="shared" si="10"/>
        <v>-0.03333333333333366</v>
      </c>
      <c r="N21" s="97">
        <f t="shared" si="11"/>
        <v>-0.050000000000000266</v>
      </c>
    </row>
    <row r="22" spans="1:14" ht="13.5" thickBot="1">
      <c r="A22">
        <v>0.0004</v>
      </c>
      <c r="B22" s="104">
        <f>$B$2*0.0007</f>
        <v>0.0007</v>
      </c>
      <c r="C22" s="117">
        <f>$B$2*0.8/1000</f>
        <v>0.0008</v>
      </c>
      <c r="D22" s="102">
        <f t="shared" si="8"/>
        <v>1.75</v>
      </c>
      <c r="E22" s="102"/>
      <c r="G22" s="94">
        <f t="shared" si="7"/>
        <v>1.142857142857143</v>
      </c>
      <c r="H22" s="94">
        <f t="shared" si="9"/>
        <v>1.75</v>
      </c>
      <c r="K22" s="97">
        <f t="shared" si="10"/>
        <v>-0.09523809523809534</v>
      </c>
      <c r="N22" s="97">
        <f t="shared" si="11"/>
        <v>-0.0714285714285714</v>
      </c>
    </row>
    <row r="25" ht="13.5" thickBot="1"/>
    <row r="26" spans="1:11" ht="12.75">
      <c r="A26">
        <v>0.15</v>
      </c>
      <c r="B26" s="101">
        <f>$B$2*0.255</f>
        <v>0.255</v>
      </c>
      <c r="C26" s="115">
        <f>$B$2*345/1000</f>
        <v>0.345</v>
      </c>
      <c r="D26" s="102"/>
      <c r="E26" s="102"/>
      <c r="G26" s="94">
        <f aca="true" t="shared" si="12" ref="G26:G33">C26/B26</f>
        <v>1.352941176470588</v>
      </c>
      <c r="H26" s="94">
        <f>B26/A26</f>
        <v>1.7000000000000002</v>
      </c>
      <c r="K26" s="97">
        <f>I4-G26</f>
        <v>0.0008228784780432985</v>
      </c>
    </row>
    <row r="27" spans="1:11" ht="12.75">
      <c r="A27">
        <v>0.325</v>
      </c>
      <c r="B27" s="103">
        <f>$B$2*0.527</f>
        <v>0.527</v>
      </c>
      <c r="C27" s="116">
        <f>$B$2*171.275/1000</f>
        <v>0.171275</v>
      </c>
      <c r="D27" s="102"/>
      <c r="E27" s="102"/>
      <c r="G27" s="94">
        <f t="shared" si="12"/>
        <v>0.325</v>
      </c>
      <c r="H27" s="94">
        <f aca="true" t="shared" si="13" ref="H27:H33">B27/A27</f>
        <v>1.6215384615384616</v>
      </c>
      <c r="K27" s="97">
        <f aca="true" t="shared" si="14" ref="K27:K33">I5-G27</f>
        <v>0.43075129357298475</v>
      </c>
    </row>
    <row r="28" spans="1:11" ht="12.75">
      <c r="A28">
        <v>0.0006</v>
      </c>
      <c r="B28" s="103">
        <f>$B$2*0.001</f>
        <v>0.001</v>
      </c>
      <c r="C28" s="116">
        <f>$B$2*6/1000</f>
        <v>0.006</v>
      </c>
      <c r="D28" s="102"/>
      <c r="E28" s="102"/>
      <c r="G28" s="94">
        <f t="shared" si="12"/>
        <v>6</v>
      </c>
      <c r="H28" s="94">
        <f t="shared" si="13"/>
        <v>1.6666666666666667</v>
      </c>
      <c r="K28" s="97">
        <f t="shared" si="14"/>
        <v>-3.6333333333333333</v>
      </c>
    </row>
    <row r="29" spans="1:11" ht="12.75">
      <c r="A29">
        <v>0.0204</v>
      </c>
      <c r="B29" s="103">
        <f>$B$2*0.0347</f>
        <v>0.0347</v>
      </c>
      <c r="C29" s="116">
        <f>$B$2*51/1000</f>
        <v>0.051</v>
      </c>
      <c r="D29" s="102"/>
      <c r="E29" s="102"/>
      <c r="G29" s="94">
        <f t="shared" si="12"/>
        <v>1.4697406340057635</v>
      </c>
      <c r="H29" s="94">
        <f t="shared" si="13"/>
        <v>1.7009803921568627</v>
      </c>
      <c r="K29" s="97">
        <f t="shared" si="14"/>
        <v>-0.2785314308474496</v>
      </c>
    </row>
    <row r="30" spans="1:11" ht="12.75">
      <c r="A30">
        <v>0.001</v>
      </c>
      <c r="B30" s="103">
        <f>$B$2*0.0017</f>
        <v>0.0017</v>
      </c>
      <c r="C30" s="116">
        <f>$B$2*7.8/1000</f>
        <v>0.0078</v>
      </c>
      <c r="D30" s="102"/>
      <c r="E30" s="102"/>
      <c r="G30" s="94">
        <f t="shared" si="12"/>
        <v>4.588235294117647</v>
      </c>
      <c r="H30" s="94">
        <f t="shared" si="13"/>
        <v>1.7</v>
      </c>
      <c r="K30" s="97">
        <f t="shared" si="14"/>
        <v>-0.0958605664488017</v>
      </c>
    </row>
    <row r="31" spans="1:11" ht="12.75">
      <c r="A31">
        <v>0.038</v>
      </c>
      <c r="B31" s="103">
        <f>$B$2*0.0644</f>
        <v>0.0644</v>
      </c>
      <c r="C31" s="116">
        <f>$B$2*23/1000</f>
        <v>0.023</v>
      </c>
      <c r="D31" s="102"/>
      <c r="E31" s="102"/>
      <c r="G31" s="94">
        <f t="shared" si="12"/>
        <v>0.35714285714285715</v>
      </c>
      <c r="H31" s="94">
        <f t="shared" si="13"/>
        <v>1.694736842105263</v>
      </c>
      <c r="K31" s="97">
        <f t="shared" si="14"/>
        <v>-0.0018918642197741642</v>
      </c>
    </row>
    <row r="32" spans="1:11" ht="12.75">
      <c r="A32">
        <v>0.0003</v>
      </c>
      <c r="B32" s="103">
        <f>$B$2*0.0005</f>
        <v>0.0005</v>
      </c>
      <c r="C32" s="116">
        <f>$B$2*0.8/1000</f>
        <v>0.0008</v>
      </c>
      <c r="D32" s="102"/>
      <c r="E32" s="102"/>
      <c r="G32" s="94">
        <f t="shared" si="12"/>
        <v>1.6</v>
      </c>
      <c r="H32" s="94">
        <f t="shared" si="13"/>
        <v>1.6666666666666667</v>
      </c>
      <c r="K32" s="97">
        <f t="shared" si="14"/>
        <v>-0.03333333333333366</v>
      </c>
    </row>
    <row r="33" spans="1:11" ht="13.5" thickBot="1">
      <c r="A33">
        <v>0.0002</v>
      </c>
      <c r="B33" s="104">
        <f>$B$2*0.0004</f>
        <v>0.0004</v>
      </c>
      <c r="C33" s="117">
        <f>$B$2*0.4/1000</f>
        <v>0.0004</v>
      </c>
      <c r="D33" s="102"/>
      <c r="E33" s="102"/>
      <c r="G33" s="94">
        <f t="shared" si="12"/>
        <v>1</v>
      </c>
      <c r="H33" s="94">
        <f t="shared" si="13"/>
        <v>2</v>
      </c>
      <c r="K33" s="97">
        <f t="shared" si="14"/>
        <v>0.04761904761904767</v>
      </c>
    </row>
    <row r="36" spans="1:11" ht="13.5" thickBot="1">
      <c r="A36" s="95"/>
      <c r="B36" s="96"/>
      <c r="D36"/>
      <c r="E36"/>
      <c r="F36" s="94"/>
      <c r="G36"/>
      <c r="I36" s="97"/>
      <c r="J36" s="97"/>
      <c r="K36"/>
    </row>
    <row r="37" spans="1:13" ht="12.75">
      <c r="A37" s="105"/>
      <c r="B37" s="106">
        <f>L37</f>
        <v>0.026047</v>
      </c>
      <c r="C37" s="118">
        <f>M37</f>
        <v>0.036464</v>
      </c>
      <c r="D37" s="107"/>
      <c r="E37" s="107"/>
      <c r="F37" s="94"/>
      <c r="G37" s="94">
        <f>C37/B37</f>
        <v>1.3999308941528776</v>
      </c>
      <c r="I37" s="97"/>
      <c r="J37" s="97"/>
      <c r="K37"/>
      <c r="L37" s="108">
        <f>$A$43*0.026047</f>
        <v>0.026047</v>
      </c>
      <c r="M37" s="109">
        <f>$A$43*0.036464</f>
        <v>0.036464</v>
      </c>
    </row>
    <row r="38" spans="1:13" ht="12.75">
      <c r="A38" s="105"/>
      <c r="B38" s="106">
        <f aca="true" t="shared" si="15" ref="B38:C46">L38</f>
        <v>0.0407004</v>
      </c>
      <c r="C38" s="118">
        <f t="shared" si="15"/>
        <v>0.036634</v>
      </c>
      <c r="D38" s="107"/>
      <c r="E38" s="107"/>
      <c r="F38" s="94"/>
      <c r="G38" s="94">
        <f aca="true" t="shared" si="16" ref="G38:G46">C38/B38</f>
        <v>0.9000894340104766</v>
      </c>
      <c r="I38" s="97"/>
      <c r="J38" s="97"/>
      <c r="K38"/>
      <c r="L38" s="110">
        <f>$A$43*0.0407004</f>
        <v>0.0407004</v>
      </c>
      <c r="M38" s="111">
        <f>$A$43*0.036634</f>
        <v>0.036634</v>
      </c>
    </row>
    <row r="39" spans="1:13" ht="12.75">
      <c r="A39" s="105"/>
      <c r="B39" s="106">
        <f t="shared" si="15"/>
        <v>0.000778</v>
      </c>
      <c r="C39" s="118">
        <f t="shared" si="15"/>
        <v>0.000314</v>
      </c>
      <c r="D39" s="107"/>
      <c r="E39" s="107"/>
      <c r="F39" s="94"/>
      <c r="G39" s="94">
        <f t="shared" si="16"/>
        <v>0.403598971722365</v>
      </c>
      <c r="I39" s="97"/>
      <c r="J39" s="97"/>
      <c r="K39"/>
      <c r="L39" s="110">
        <f>$A$43*0.000778</f>
        <v>0.000778</v>
      </c>
      <c r="M39" s="111">
        <f>$A$43*0.000314</f>
        <v>0.000314</v>
      </c>
    </row>
    <row r="40" spans="1:13" ht="12.75">
      <c r="A40" s="105"/>
      <c r="B40" s="106">
        <f t="shared" si="15"/>
        <v>0.00972</v>
      </c>
      <c r="C40" s="118">
        <f t="shared" si="15"/>
        <v>0.003927</v>
      </c>
      <c r="D40" s="107"/>
      <c r="E40" s="107"/>
      <c r="F40" s="94"/>
      <c r="G40" s="94">
        <f t="shared" si="16"/>
        <v>0.40401234567901234</v>
      </c>
      <c r="I40" s="97"/>
      <c r="J40" s="97"/>
      <c r="K40"/>
      <c r="L40" s="110">
        <f>$A$43*0.00972</f>
        <v>0.00972</v>
      </c>
      <c r="M40" s="111">
        <f>$A$43*0.003927</f>
        <v>0.003927</v>
      </c>
    </row>
    <row r="41" spans="1:13" ht="12.75">
      <c r="A41" s="105"/>
      <c r="B41" s="106">
        <f t="shared" si="15"/>
        <v>0.001799</v>
      </c>
      <c r="C41" s="118">
        <f t="shared" si="15"/>
        <v>0.000648</v>
      </c>
      <c r="D41" s="107"/>
      <c r="E41" s="107"/>
      <c r="F41" s="94"/>
      <c r="G41" s="94">
        <f t="shared" si="16"/>
        <v>0.3602001111728738</v>
      </c>
      <c r="I41" s="97"/>
      <c r="J41" s="97"/>
      <c r="K41"/>
      <c r="L41" s="110">
        <f>$A$43*0.001799</f>
        <v>0.001799</v>
      </c>
      <c r="M41" s="111">
        <f>$A$43*0.000648</f>
        <v>0.000648</v>
      </c>
    </row>
    <row r="42" spans="1:13" ht="12.75">
      <c r="A42" s="105"/>
      <c r="B42" s="106">
        <f t="shared" si="15"/>
        <v>0.014487</v>
      </c>
      <c r="C42" s="118">
        <f t="shared" si="15"/>
        <v>0.003622</v>
      </c>
      <c r="D42" s="107"/>
      <c r="E42" s="107"/>
      <c r="F42" s="94"/>
      <c r="G42" s="94">
        <f t="shared" si="16"/>
        <v>0.2500172568509698</v>
      </c>
      <c r="I42" s="97"/>
      <c r="J42" s="97"/>
      <c r="K42"/>
      <c r="L42" s="110">
        <f>$A$43*0.014487</f>
        <v>0.014487</v>
      </c>
      <c r="M42" s="111">
        <f>$A$43*0.003622</f>
        <v>0.003622</v>
      </c>
    </row>
    <row r="43" spans="1:13" ht="12.75">
      <c r="A43" s="105">
        <v>1</v>
      </c>
      <c r="B43" s="106">
        <f t="shared" si="15"/>
        <v>0</v>
      </c>
      <c r="C43" s="118">
        <f t="shared" si="15"/>
        <v>0</v>
      </c>
      <c r="D43" s="107"/>
      <c r="E43" s="107"/>
      <c r="F43" s="94"/>
      <c r="G43" s="98">
        <f>M10</f>
        <v>1.5499999999999998</v>
      </c>
      <c r="I43" s="97"/>
      <c r="J43" s="97"/>
      <c r="K43"/>
      <c r="L43" s="110">
        <v>0</v>
      </c>
      <c r="M43" s="111">
        <v>0</v>
      </c>
    </row>
    <row r="44" spans="1:13" ht="12.75">
      <c r="A44" s="105"/>
      <c r="B44" s="106">
        <f t="shared" si="15"/>
        <v>0.010354</v>
      </c>
      <c r="C44" s="118">
        <f t="shared" si="15"/>
        <v>0.001584</v>
      </c>
      <c r="D44" s="107"/>
      <c r="E44" s="107"/>
      <c r="F44" s="94"/>
      <c r="G44" s="94">
        <f t="shared" si="16"/>
        <v>0.15298435387289935</v>
      </c>
      <c r="I44" s="97"/>
      <c r="J44" s="97"/>
      <c r="K44"/>
      <c r="L44" s="110">
        <f>$A$43*0.010354</f>
        <v>0.010354</v>
      </c>
      <c r="M44" s="111">
        <f>$A$43*0.001584</f>
        <v>0.001584</v>
      </c>
    </row>
    <row r="45" spans="1:13" ht="12.75">
      <c r="A45" s="105"/>
      <c r="B45" s="106">
        <f t="shared" si="15"/>
        <v>0.011875</v>
      </c>
      <c r="C45" s="118">
        <f t="shared" si="15"/>
        <v>0.000831</v>
      </c>
      <c r="D45" s="107"/>
      <c r="E45" s="107"/>
      <c r="F45" s="94"/>
      <c r="G45" s="94">
        <f t="shared" si="16"/>
        <v>0.06997894736842106</v>
      </c>
      <c r="I45" s="97"/>
      <c r="J45" s="97"/>
      <c r="K45"/>
      <c r="L45" s="110">
        <f>$A$43*0.011875</f>
        <v>0.011875</v>
      </c>
      <c r="M45" s="111">
        <f>$A$43*0.000831</f>
        <v>0.000831</v>
      </c>
    </row>
    <row r="46" spans="1:13" ht="13.5" thickBot="1">
      <c r="A46" s="105"/>
      <c r="B46" s="106">
        <f t="shared" si="15"/>
        <v>0.002186</v>
      </c>
      <c r="C46" s="118">
        <f t="shared" si="15"/>
        <v>0.00011</v>
      </c>
      <c r="D46" s="107"/>
      <c r="E46" s="107"/>
      <c r="F46" s="94"/>
      <c r="G46" s="94">
        <f t="shared" si="16"/>
        <v>0.050320219579139985</v>
      </c>
      <c r="I46" s="97"/>
      <c r="J46" s="97"/>
      <c r="K46"/>
      <c r="L46" s="112">
        <f>$A$43*0.002186</f>
        <v>0.002186</v>
      </c>
      <c r="M46" s="113">
        <f>$A$43*0.00011</f>
        <v>0.00011</v>
      </c>
    </row>
    <row r="47" spans="1:11" ht="12.75">
      <c r="A47" s="95"/>
      <c r="B47" s="96"/>
      <c r="D47"/>
      <c r="E47"/>
      <c r="F47" s="94"/>
      <c r="G47"/>
      <c r="I47" s="97"/>
      <c r="J47" s="97"/>
      <c r="K47"/>
    </row>
    <row r="48" spans="1:11" ht="12.75">
      <c r="A48" s="95"/>
      <c r="B48" s="96"/>
      <c r="D48"/>
      <c r="E48"/>
      <c r="F48" s="94"/>
      <c r="G48"/>
      <c r="I48" s="97"/>
      <c r="J48" s="97"/>
      <c r="K48"/>
    </row>
    <row r="49" spans="1:11" ht="12.75">
      <c r="A49" s="95"/>
      <c r="B49" s="145" t="s">
        <v>60</v>
      </c>
      <c r="D49"/>
      <c r="E49"/>
      <c r="F49" s="94"/>
      <c r="G49"/>
      <c r="I49" s="97"/>
      <c r="J49" s="97"/>
      <c r="K49"/>
    </row>
    <row r="50" spans="1:11" ht="12.75">
      <c r="A50" s="95"/>
      <c r="B50" s="145" t="s">
        <v>61</v>
      </c>
      <c r="D50"/>
      <c r="E50"/>
      <c r="F50" s="94"/>
      <c r="G50"/>
      <c r="I50" s="97"/>
      <c r="J50" s="97"/>
      <c r="K50"/>
    </row>
    <row r="51" spans="1:11" ht="12.75">
      <c r="A51" s="95"/>
      <c r="B51" s="96"/>
      <c r="D51"/>
      <c r="E51"/>
      <c r="F51" s="94"/>
      <c r="G51"/>
      <c r="I51" s="97"/>
      <c r="J51" s="97"/>
      <c r="K51"/>
    </row>
    <row r="54" spans="8:11" ht="12.75">
      <c r="H54">
        <v>0.309</v>
      </c>
      <c r="I54">
        <v>0.5253</v>
      </c>
      <c r="J54">
        <v>0.5253</v>
      </c>
      <c r="K54" s="97">
        <f>H54/I54</f>
        <v>0.5882352941176471</v>
      </c>
    </row>
    <row r="55" spans="8:11" ht="12.75">
      <c r="H55">
        <v>0.225</v>
      </c>
      <c r="I55">
        <v>0.3825</v>
      </c>
      <c r="J55">
        <v>0.3825</v>
      </c>
      <c r="K55" s="97">
        <f aca="true" t="shared" si="17" ref="K55:K61">H55/I55</f>
        <v>0.5882352941176471</v>
      </c>
    </row>
    <row r="56" spans="8:11" ht="12.75">
      <c r="H56">
        <v>0.009</v>
      </c>
      <c r="I56">
        <v>0.0153</v>
      </c>
      <c r="J56">
        <v>0.0153</v>
      </c>
      <c r="K56" s="97">
        <f t="shared" si="17"/>
        <v>0.5882352941176471</v>
      </c>
    </row>
    <row r="57" spans="8:11" ht="12.75">
      <c r="H57">
        <v>0.0204</v>
      </c>
      <c r="I57">
        <v>0.0347</v>
      </c>
      <c r="J57">
        <v>0.0347</v>
      </c>
      <c r="K57" s="97">
        <f t="shared" si="17"/>
        <v>0.5878962536023055</v>
      </c>
    </row>
    <row r="58" spans="8:11" ht="12.75">
      <c r="H58">
        <v>0.0021</v>
      </c>
      <c r="I58">
        <v>0.0036</v>
      </c>
      <c r="J58">
        <v>0.0036</v>
      </c>
      <c r="K58" s="97">
        <f t="shared" si="17"/>
        <v>0.5833333333333333</v>
      </c>
    </row>
    <row r="59" spans="8:11" ht="12.75">
      <c r="H59">
        <v>0.0028</v>
      </c>
      <c r="I59">
        <v>0.0047</v>
      </c>
      <c r="J59">
        <v>0.0047</v>
      </c>
      <c r="K59" s="97">
        <f t="shared" si="17"/>
        <v>0.5957446808510638</v>
      </c>
    </row>
    <row r="60" spans="8:11" ht="12.75">
      <c r="H60">
        <v>0.0008</v>
      </c>
      <c r="I60">
        <v>0.001</v>
      </c>
      <c r="J60">
        <v>0.001</v>
      </c>
      <c r="K60" s="97">
        <f t="shared" si="17"/>
        <v>0.8</v>
      </c>
    </row>
    <row r="61" spans="8:11" ht="12.75">
      <c r="H61">
        <v>0.0004</v>
      </c>
      <c r="I61">
        <v>0.0007</v>
      </c>
      <c r="J61">
        <v>0.0007</v>
      </c>
      <c r="K61" s="97">
        <f t="shared" si="17"/>
        <v>0.5714285714285715</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COL-LEGI APARELLADORS I ARQUITECTES  BCN</dc:creator>
  <cp:keywords/>
  <dc:description/>
  <cp:lastModifiedBy>Rosa López</cp:lastModifiedBy>
  <cp:lastPrinted>2018-04-25T14:35:48Z</cp:lastPrinted>
  <dcterms:created xsi:type="dcterms:W3CDTF">2010-06-23T07:32:43Z</dcterms:created>
  <dcterms:modified xsi:type="dcterms:W3CDTF">2021-06-29T11:12:46Z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