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870" yWindow="65521" windowWidth="15525" windowHeight="13425" tabRatio="860" activeTab="0"/>
  </bookViews>
  <sheets>
    <sheet name="EXCAVACIÓ" sheetId="1" r:id="rId1"/>
    <sheet name="Auxiliar" sheetId="2" state="hidden" r:id="rId2"/>
  </sheets>
  <definedNames>
    <definedName name="_xlnm.Print_Area" localSheetId="0">'EXCAVACIÓ'!$A$1:$N$76</definedName>
  </definedNames>
  <calcPr fullCalcOnLoad="1"/>
</workbook>
</file>

<file path=xl/sharedStrings.xml><?xml version="1.0" encoding="utf-8"?>
<sst xmlns="http://schemas.openxmlformats.org/spreadsheetml/2006/main" count="151" uniqueCount="132">
  <si>
    <t>RESIDUS D'EXCAVACIÓ</t>
  </si>
  <si>
    <t>Densitat(real)</t>
  </si>
  <si>
    <t>CER</t>
  </si>
  <si>
    <t>CLA</t>
  </si>
  <si>
    <t>Tn/m3</t>
  </si>
  <si>
    <t>TERRENYS NATURALS</t>
  </si>
  <si>
    <t>Grava i sorra compacta</t>
  </si>
  <si>
    <t>-</t>
  </si>
  <si>
    <t>Grava i sorra solta</t>
  </si>
  <si>
    <t>Argiles</t>
  </si>
  <si>
    <t>REBLIMENTS</t>
  </si>
  <si>
    <t>Terra vegetal</t>
  </si>
  <si>
    <t>Terraplè</t>
  </si>
  <si>
    <t>Pedraplè</t>
  </si>
  <si>
    <t>ALTRES</t>
  </si>
  <si>
    <t>Llots</t>
  </si>
  <si>
    <t>De perforació</t>
  </si>
  <si>
    <t>De drenatge</t>
  </si>
  <si>
    <t>Altres</t>
  </si>
  <si>
    <t>€</t>
  </si>
  <si>
    <t xml:space="preserve">NOTA I: </t>
  </si>
  <si>
    <t xml:space="preserve">NOTA II: </t>
  </si>
  <si>
    <t>no</t>
  </si>
  <si>
    <t>si</t>
  </si>
  <si>
    <t>Volum de terres(aparent) m3</t>
  </si>
  <si>
    <t>Pes de terres(real)           Tn</t>
  </si>
  <si>
    <t>Volum de terres(real)            m3</t>
  </si>
  <si>
    <t>Avaluació i característiques dels residus</t>
  </si>
  <si>
    <t>S'han detectat terres contaminades</t>
  </si>
  <si>
    <t>m3</t>
  </si>
  <si>
    <t>Tn</t>
  </si>
  <si>
    <t>Tipologia de Residus</t>
  </si>
  <si>
    <t>Esponjament</t>
  </si>
  <si>
    <t>Abocador/ Valoritzador</t>
  </si>
  <si>
    <t>€/m3</t>
  </si>
  <si>
    <t>€/Tn</t>
  </si>
  <si>
    <t>Total</t>
  </si>
  <si>
    <t>Km</t>
  </si>
  <si>
    <t>VALORACIÓ TOTAL:</t>
  </si>
  <si>
    <t>€/km</t>
  </si>
  <si>
    <t>Adreça:</t>
  </si>
  <si>
    <t>Municipi/Comarca:</t>
  </si>
  <si>
    <t>Autor de l'Estudi de Gestió de Residus:</t>
  </si>
  <si>
    <t>Identificació de l'Obra:</t>
  </si>
  <si>
    <t xml:space="preserve">                     Residus d'excavació</t>
  </si>
  <si>
    <t>Volum real</t>
  </si>
  <si>
    <t>Classificació del residu</t>
  </si>
  <si>
    <t>Codificació, classificació i les vies de gestió del residus</t>
  </si>
  <si>
    <t>VAL ( R )</t>
  </si>
  <si>
    <t>ELIM  ( D )</t>
  </si>
  <si>
    <t>NP</t>
  </si>
  <si>
    <t>Residus no perillosos</t>
  </si>
  <si>
    <t xml:space="preserve">P </t>
  </si>
  <si>
    <t>Residus perillosos</t>
  </si>
  <si>
    <t xml:space="preserve">DP </t>
  </si>
  <si>
    <t>Residus amb perillositat pend. de determinar</t>
  </si>
  <si>
    <t>Operacions d'eliminació del residu</t>
  </si>
  <si>
    <t>Vies de valorització dels residus</t>
  </si>
  <si>
    <t xml:space="preserve">D1 </t>
  </si>
  <si>
    <t>Dipòsit sobre el sòl o al seu interior (abocament)</t>
  </si>
  <si>
    <t>R1</t>
  </si>
  <si>
    <t>Utilització principal com a combustible o una altra forma de produir energia</t>
  </si>
  <si>
    <t xml:space="preserve">D2 </t>
  </si>
  <si>
    <t>Tractament al medi terrestre (ex. biodegradació)</t>
  </si>
  <si>
    <t>R2</t>
  </si>
  <si>
    <t>Recuperació o regeneració de dissolvents</t>
  </si>
  <si>
    <t xml:space="preserve">D3 </t>
  </si>
  <si>
    <t>Injecció en profunditat</t>
  </si>
  <si>
    <t>R3</t>
  </si>
  <si>
    <t>Reciclatge o recuperació de substàncies orgàniques que no s’utilitzen com a dissolvents</t>
  </si>
  <si>
    <t xml:space="preserve">D4 </t>
  </si>
  <si>
    <t xml:space="preserve">Embassament superficial </t>
  </si>
  <si>
    <t>(inclosos el compostatge i altres processos de transformació biològica)</t>
  </si>
  <si>
    <t>D5</t>
  </si>
  <si>
    <t>Dipòsit controlat en llocs esp. dissenyats</t>
  </si>
  <si>
    <t>R4</t>
  </si>
  <si>
    <t>Reciclatge o recuperació de metalls i de compostos metàl·lics</t>
  </si>
  <si>
    <t>D6</t>
  </si>
  <si>
    <t>Abocament al medi aquàtic, excepte al mar</t>
  </si>
  <si>
    <t>R5</t>
  </si>
  <si>
    <t>Reciclatge o recuperació d’altres matèries inorgàniques</t>
  </si>
  <si>
    <t xml:space="preserve">D7 </t>
  </si>
  <si>
    <t>Abocament al mar, incl. inserció al llit marí</t>
  </si>
  <si>
    <t>R6</t>
  </si>
  <si>
    <t>Regeneració d’àcids o de bases</t>
  </si>
  <si>
    <t xml:space="preserve">D8 </t>
  </si>
  <si>
    <t>Tractament biològic no especificat</t>
  </si>
  <si>
    <t>R7</t>
  </si>
  <si>
    <t>Valorització de components utilitzats per a reduir la contaminació</t>
  </si>
  <si>
    <t>D9</t>
  </si>
  <si>
    <t>Tractament fisicoquímic no especificat</t>
  </si>
  <si>
    <t>R8</t>
  </si>
  <si>
    <t>Valorització de components procedents de catalitzadors</t>
  </si>
  <si>
    <t xml:space="preserve">D10 </t>
  </si>
  <si>
    <t>Incineració a la terra</t>
  </si>
  <si>
    <t>R9</t>
  </si>
  <si>
    <t>Regeneració o un altre nou ús d’olis</t>
  </si>
  <si>
    <t xml:space="preserve">D11 </t>
  </si>
  <si>
    <t>Incineració al mar</t>
  </si>
  <si>
    <t>R10</t>
  </si>
  <si>
    <t>Tractament dels sòls que produeixi un benefici en l’agricultura o una millora ecològica d’aquests sòls</t>
  </si>
  <si>
    <t>D12</t>
  </si>
  <si>
    <t>Emmagatzematge permanent</t>
  </si>
  <si>
    <t>R11</t>
  </si>
  <si>
    <t>Utilització de residus obtinguts a partir de qualsevol de les operacions enumerades de R1 a R10</t>
  </si>
  <si>
    <t>D13</t>
  </si>
  <si>
    <t>Combinació o mescla prèvia (D1 a D12)</t>
  </si>
  <si>
    <t>R12</t>
  </si>
  <si>
    <t xml:space="preserve">Intercanvi de residus per sotmetre’ls a qualsevol de les operacions enumerades entre R 1 i R 11 i R14. </t>
  </si>
  <si>
    <t xml:space="preserve">D14 </t>
  </si>
  <si>
    <t>Reenvasat previ (D 1 a D 13)</t>
  </si>
  <si>
    <t>S’hi inclouen operacions prèvies a la valorització, inclòs el tractament previ, operacions com ara el desmuntatge,</t>
  </si>
  <si>
    <t>D15</t>
  </si>
  <si>
    <t>Emmagatzematge en espera (D 1 a D 14)</t>
  </si>
  <si>
    <t xml:space="preserve"> la classificació, la trituració, la compactació, la pel·letització, l’assecatge, la fragmentació, el condicionament, </t>
  </si>
  <si>
    <t>el reenvasament, la separació, la combinació o la mescla</t>
  </si>
  <si>
    <t>R13</t>
  </si>
  <si>
    <t>Emmagatzematge de residus en espera de qualsevol de les operacions enumerades de R1 a R 12 i R14</t>
  </si>
  <si>
    <t>(exclòs l’emmagatzematge temporal, en espera de recollida, al lloc on es va produir el residu).</t>
  </si>
  <si>
    <t>R14</t>
  </si>
  <si>
    <t>Preparació per a la reutilització</t>
  </si>
  <si>
    <t>R15</t>
  </si>
  <si>
    <t>Rebliment</t>
  </si>
  <si>
    <t>VALORACIÓ DE LES DESPESES DERIVADES DE LA GESTIÓ (formarà part del pressupost del projecte)</t>
  </si>
  <si>
    <t>versió V3 2018</t>
  </si>
  <si>
    <t>En cas que en l'estudi de gestió i en el corresponent pla de gestió, s'hagi previst la reutilització de terres i pedres no contaminades per substàncies perilloses generades en la mateixa obra, en una obra diferent o en una activitat de restauració, condicionament o rebliment, cal que la llicència d'obres determini la forma d'acreditació d'aquesta gestió. Aquesta acreditació pot realitzar-se mitjançant el serveis tècnics mpals o be per empreses acreditades externes. El cost d'aquesta acreditació haurà de ser assumit pel productor dels residus.</t>
  </si>
  <si>
    <t>Les terres i llots  (170503* i 170505*) els quals contenen substàncies perilloses, classificats com residus perillosos, s'hauran d'inventariar segons el catàleg de residus.</t>
  </si>
  <si>
    <t>NOTA:</t>
  </si>
  <si>
    <t xml:space="preserve">Cal presentar davant de l'ajuntament, juntament amb la sol·licitud de la llicència d'obres, un document d'acceptació que sigui signat per un gestor de residus autoritzat, per tal de garantir la correcta destinació dels residus separats per tipus. En aquest document hi ha de constar el codi de gestor, el domicili de l'obra, i l'import rebut en concepte de dipòsit per a la posterior gestió. Aquest  dipòsit, té per objecte garantir que la gestió dels residus de la construcció i la demolició que siguin generats en una obra concreta per la persona productora, s'efectua d'acord amb la normativa vigent. 
La persona sol·licitant de la llicència, ha de presentar a l'ajuntament corresponent el certificat acreditatiu de la gestió dels residus referent a la quantitat i tipus de residus lliurats.
</t>
  </si>
  <si>
    <t>Import DIPÒSIT Gestor de residus                                                          Reial Decret 210/2018</t>
  </si>
  <si>
    <t>Total dipòsit</t>
  </si>
  <si>
    <t>Transport (unitat/m3)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</si>
</sst>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0000"/>
    <numFmt numFmtId="170" formatCode="0.000000"/>
    <numFmt numFmtId="171" formatCode="#,##0.000"/>
    <numFmt numFmtId="172" formatCode="0.0000000"/>
  </numFmts>
  <fonts count="37">
    <font>
      <sz val="10"/>
      <name val="Arial"/>
      <family val="0"/>
    </font>
    <font>
      <sz val="8"/>
      <name val="Arial"/>
      <family val="2"/>
    </font>
    <font>
      <b/>
      <sz val="9"/>
      <name val="Arial"/>
      <family val="2"/>
    </font>
    <font>
      <sz val="9"/>
      <name val="Arial"/>
      <family val="2"/>
    </font>
    <font>
      <b/>
      <sz val="12"/>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9"/>
      <color indexed="10"/>
      <name val="Arial"/>
      <family val="2"/>
    </font>
    <font>
      <b/>
      <sz val="9"/>
      <name val="Verdana"/>
      <family val="2"/>
    </font>
    <font>
      <sz val="9"/>
      <name val="Verdana"/>
      <family val="2"/>
    </font>
    <font>
      <b/>
      <u val="single"/>
      <sz val="8"/>
      <name val="Verdana"/>
      <family val="2"/>
    </font>
    <font>
      <sz val="8"/>
      <name val="Verdana"/>
      <family val="2"/>
    </font>
    <font>
      <sz val="7"/>
      <name val="Verdana"/>
      <family val="2"/>
    </font>
    <font>
      <sz val="8.5"/>
      <name val="Verdana"/>
      <family val="2"/>
    </font>
    <font>
      <b/>
      <sz val="11"/>
      <name val="Verdana"/>
      <family val="2"/>
    </font>
    <font>
      <sz val="10"/>
      <name val="Verdana"/>
      <family val="2"/>
    </font>
    <font>
      <sz val="9"/>
      <color indexed="9"/>
      <name val="Verdana"/>
      <family val="2"/>
    </font>
    <font>
      <b/>
      <sz val="10"/>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medium"/>
    </border>
    <border>
      <left style="thin"/>
      <right style="medium"/>
      <top style="thin"/>
      <bottom style="thin"/>
    </border>
    <border>
      <left>
        <color indexed="63"/>
      </left>
      <right>
        <color indexed="63"/>
      </right>
      <top style="thin"/>
      <bottom style="thin"/>
    </border>
    <border>
      <left style="thin"/>
      <right style="medium"/>
      <top style="thin"/>
      <bottom style="medium"/>
    </border>
    <border>
      <left>
        <color indexed="63"/>
      </left>
      <right>
        <color indexed="63"/>
      </right>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medium"/>
      <right>
        <color indexed="63"/>
      </right>
      <top style="thin"/>
      <bottom style="thin"/>
    </border>
    <border>
      <left style="medium"/>
      <right>
        <color indexed="63"/>
      </right>
      <top style="medium"/>
      <bottom style="thin"/>
    </border>
    <border>
      <left style="medium"/>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mediu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2"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0" fontId="6"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7" applyNumberFormat="0" applyFill="0" applyAlignment="0" applyProtection="0"/>
    <xf numFmtId="0" fontId="12" fillId="0" borderId="8" applyNumberFormat="0" applyFill="0" applyAlignment="0" applyProtection="0"/>
    <xf numFmtId="0" fontId="24" fillId="0" borderId="9" applyNumberFormat="0" applyFill="0" applyAlignment="0" applyProtection="0"/>
  </cellStyleXfs>
  <cellXfs count="278">
    <xf numFmtId="0" fontId="0" fillId="0" borderId="0" xfId="0" applyAlignment="1">
      <alignment/>
    </xf>
    <xf numFmtId="0" fontId="2" fillId="0" borderId="0" xfId="0" applyFont="1" applyAlignment="1">
      <alignment horizontal="center" vertical="center" textRotation="255" wrapText="1"/>
    </xf>
    <xf numFmtId="0" fontId="3" fillId="0" borderId="0" xfId="0" applyFont="1" applyAlignment="1">
      <alignment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2" fillId="0" borderId="0" xfId="0" applyFont="1" applyAlignment="1">
      <alignment horizontal="left" wrapText="1"/>
    </xf>
    <xf numFmtId="4"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0" xfId="0" applyNumberFormat="1" applyFont="1" applyAlignment="1">
      <alignment horizont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2" fillId="0" borderId="0" xfId="0" applyFont="1" applyAlignment="1">
      <alignment horizontal="right" vertical="top"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vertical="center" wrapText="1"/>
    </xf>
    <xf numFmtId="0" fontId="3" fillId="0" borderId="10" xfId="0" applyFont="1" applyBorder="1" applyAlignment="1">
      <alignment horizontal="center" vertical="center" wrapText="1"/>
    </xf>
    <xf numFmtId="0" fontId="3" fillId="0" borderId="26" xfId="0" applyFont="1" applyBorder="1" applyAlignment="1">
      <alignment vertical="center" wrapText="1"/>
    </xf>
    <xf numFmtId="1" fontId="3" fillId="0" borderId="21" xfId="0" applyNumberFormat="1"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wrapText="1"/>
    </xf>
    <xf numFmtId="0" fontId="3" fillId="0" borderId="28" xfId="0" applyFont="1" applyBorder="1" applyAlignment="1">
      <alignment horizontal="center" vertical="center" wrapText="1"/>
    </xf>
    <xf numFmtId="1" fontId="3" fillId="0" borderId="22" xfId="0" applyNumberFormat="1" applyFont="1" applyBorder="1" applyAlignment="1">
      <alignment horizontal="center" vertical="center" wrapText="1"/>
    </xf>
    <xf numFmtId="4" fontId="3" fillId="0" borderId="17"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24"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2" fillId="0" borderId="0" xfId="0" applyNumberFormat="1" applyFont="1" applyAlignment="1">
      <alignment horizontal="center" wrapText="1"/>
    </xf>
    <xf numFmtId="0" fontId="3" fillId="0" borderId="29" xfId="0" applyFont="1" applyBorder="1" applyAlignment="1">
      <alignment horizontal="center" vertical="center" wrapText="1"/>
    </xf>
    <xf numFmtId="0" fontId="3" fillId="0" borderId="0" xfId="0" applyNumberFormat="1" applyFont="1" applyBorder="1" applyAlignment="1">
      <alignment vertical="center" wrapText="1"/>
    </xf>
    <xf numFmtId="4" fontId="3" fillId="0" borderId="14" xfId="0" applyNumberFormat="1" applyFont="1" applyBorder="1" applyAlignment="1">
      <alignment vertical="center" wrapText="1"/>
    </xf>
    <xf numFmtId="4" fontId="3" fillId="0" borderId="15" xfId="0" applyNumberFormat="1" applyFont="1" applyBorder="1" applyAlignment="1">
      <alignment vertical="center" wrapText="1"/>
    </xf>
    <xf numFmtId="4" fontId="3" fillId="0" borderId="13" xfId="0" applyNumberFormat="1" applyFont="1" applyBorder="1" applyAlignment="1">
      <alignment vertical="center" wrapText="1"/>
    </xf>
    <xf numFmtId="0" fontId="3" fillId="0" borderId="30" xfId="0" applyFont="1" applyBorder="1" applyAlignment="1">
      <alignment horizontal="center" vertical="center" wrapText="1"/>
    </xf>
    <xf numFmtId="0" fontId="3" fillId="0" borderId="0" xfId="0" applyFont="1" applyAlignment="1">
      <alignment horizontal="left" vertical="top" wrapText="1"/>
    </xf>
    <xf numFmtId="0" fontId="3" fillId="0" borderId="31" xfId="0" applyFont="1" applyBorder="1" applyAlignment="1">
      <alignment wrapText="1"/>
    </xf>
    <xf numFmtId="0" fontId="3" fillId="0" borderId="32" xfId="0" applyFont="1" applyBorder="1" applyAlignment="1">
      <alignment wrapText="1"/>
    </xf>
    <xf numFmtId="0" fontId="3" fillId="0" borderId="33" xfId="0" applyFont="1" applyBorder="1" applyAlignment="1">
      <alignment wrapText="1"/>
    </xf>
    <xf numFmtId="0" fontId="3" fillId="0" borderId="34" xfId="0" applyFont="1" applyBorder="1" applyAlignment="1">
      <alignment wrapText="1"/>
    </xf>
    <xf numFmtId="0" fontId="3" fillId="0" borderId="35" xfId="0" applyFont="1" applyBorder="1" applyAlignment="1">
      <alignment wrapText="1"/>
    </xf>
    <xf numFmtId="0" fontId="2" fillId="0" borderId="36"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14" xfId="0" applyFont="1" applyBorder="1" applyAlignment="1">
      <alignment horizontal="left" wrapText="1"/>
    </xf>
    <xf numFmtId="4" fontId="3" fillId="0" borderId="34" xfId="0" applyNumberFormat="1" applyFont="1" applyBorder="1" applyAlignment="1">
      <alignment horizontal="center" vertical="center"/>
    </xf>
    <xf numFmtId="0" fontId="3" fillId="0" borderId="34" xfId="0" applyNumberFormat="1" applyFont="1" applyBorder="1" applyAlignment="1">
      <alignment vertical="center" wrapText="1"/>
    </xf>
    <xf numFmtId="0" fontId="3" fillId="0" borderId="34" xfId="0" applyNumberFormat="1" applyFont="1" applyBorder="1" applyAlignment="1">
      <alignment horizontal="center" vertical="center" wrapText="1"/>
    </xf>
    <xf numFmtId="0" fontId="2" fillId="0" borderId="0" xfId="0" applyFont="1" applyBorder="1" applyAlignment="1">
      <alignment vertical="center"/>
    </xf>
    <xf numFmtId="0" fontId="3" fillId="0" borderId="0" xfId="0" applyNumberFormat="1" applyFont="1" applyBorder="1" applyAlignment="1">
      <alignment horizontal="center" vertical="center" wrapText="1"/>
    </xf>
    <xf numFmtId="0" fontId="3" fillId="0" borderId="39" xfId="0" applyFont="1" applyBorder="1" applyAlignment="1">
      <alignment horizontal="center" vertical="center" wrapText="1"/>
    </xf>
    <xf numFmtId="0" fontId="2" fillId="0" borderId="23" xfId="0" applyFont="1" applyBorder="1" applyAlignment="1">
      <alignment horizontal="center" vertical="center"/>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right" vertical="center"/>
    </xf>
    <xf numFmtId="4" fontId="2"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0" fontId="2" fillId="0" borderId="0" xfId="0" applyFont="1" applyBorder="1" applyAlignment="1">
      <alignment wrapText="1"/>
    </xf>
    <xf numFmtId="0" fontId="3" fillId="0" borderId="0" xfId="0" applyFont="1" applyAlignment="1">
      <alignment wrapText="1"/>
    </xf>
    <xf numFmtId="170" fontId="0" fillId="0" borderId="0" xfId="0" applyNumberFormat="1" applyAlignment="1">
      <alignment/>
    </xf>
    <xf numFmtId="164" fontId="0" fillId="0" borderId="0" xfId="0" applyNumberFormat="1" applyAlignment="1">
      <alignment/>
    </xf>
    <xf numFmtId="171" fontId="0" fillId="0" borderId="0" xfId="0" applyNumberFormat="1" applyAlignment="1">
      <alignment/>
    </xf>
    <xf numFmtId="4" fontId="0" fillId="0" borderId="0" xfId="0" applyNumberFormat="1" applyAlignment="1">
      <alignment/>
    </xf>
    <xf numFmtId="170" fontId="0" fillId="4" borderId="0" xfId="0" applyNumberFormat="1" applyFill="1" applyAlignment="1">
      <alignment/>
    </xf>
    <xf numFmtId="0" fontId="3" fillId="0" borderId="40" xfId="0" applyNumberFormat="1" applyFont="1" applyBorder="1" applyAlignment="1">
      <alignment horizontal="center" vertical="center" wrapText="1"/>
    </xf>
    <xf numFmtId="0" fontId="3" fillId="0" borderId="0" xfId="0" applyFont="1" applyAlignment="1">
      <alignment horizontal="center" wrapText="1"/>
    </xf>
    <xf numFmtId="164" fontId="3" fillId="0" borderId="11" xfId="0" applyNumberFormat="1" applyFont="1" applyBorder="1" applyAlignment="1">
      <alignment horizontal="center" vertical="center" wrapText="1"/>
    </xf>
    <xf numFmtId="171" fontId="3" fillId="0" borderId="0"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4" fontId="26"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0" xfId="0" applyNumberFormat="1" applyFont="1" applyAlignment="1">
      <alignment/>
    </xf>
    <xf numFmtId="164" fontId="26" fillId="0" borderId="11" xfId="0" applyNumberFormat="1" applyFont="1" applyBorder="1" applyAlignment="1">
      <alignment horizontal="center" vertical="center" wrapText="1"/>
    </xf>
    <xf numFmtId="164" fontId="26" fillId="0" borderId="22" xfId="0" applyNumberFormat="1" applyFont="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21" xfId="0" applyNumberFormat="1" applyFont="1" applyBorder="1" applyAlignment="1">
      <alignment horizontal="center" vertical="center" wrapText="1"/>
    </xf>
    <xf numFmtId="164" fontId="26" fillId="0" borderId="16" xfId="0" applyNumberFormat="1" applyFont="1" applyBorder="1" applyAlignment="1">
      <alignment horizontal="center" vertical="center" wrapText="1"/>
    </xf>
    <xf numFmtId="164" fontId="26" fillId="0" borderId="24" xfId="0" applyNumberFormat="1" applyFont="1" applyBorder="1" applyAlignment="1">
      <alignment horizontal="center" vertical="center" wrapText="1"/>
    </xf>
    <xf numFmtId="172" fontId="0" fillId="0" borderId="0" xfId="0" applyNumberFormat="1" applyAlignment="1">
      <alignment/>
    </xf>
    <xf numFmtId="172" fontId="3" fillId="0" borderId="22" xfId="0" applyNumberFormat="1" applyFont="1" applyBorder="1" applyAlignment="1">
      <alignment horizontal="center" vertical="center" wrapText="1"/>
    </xf>
    <xf numFmtId="172" fontId="3" fillId="0" borderId="21" xfId="0" applyNumberFormat="1" applyFont="1" applyBorder="1" applyAlignment="1">
      <alignment horizontal="center" vertical="center" wrapText="1"/>
    </xf>
    <xf numFmtId="172" fontId="3" fillId="0" borderId="24" xfId="0" applyNumberFormat="1" applyFont="1" applyBorder="1" applyAlignment="1">
      <alignment horizontal="center" vertical="center" wrapText="1"/>
    </xf>
    <xf numFmtId="172" fontId="3" fillId="0" borderId="0" xfId="0" applyNumberFormat="1" applyFont="1" applyAlignment="1">
      <alignment/>
    </xf>
    <xf numFmtId="0" fontId="0" fillId="16" borderId="15" xfId="0" applyFill="1" applyBorder="1" applyAlignment="1" applyProtection="1">
      <alignment horizontal="center" vertical="center"/>
      <protection locked="0"/>
    </xf>
    <xf numFmtId="0" fontId="0" fillId="16" borderId="19" xfId="0" applyFill="1" applyBorder="1" applyAlignment="1" applyProtection="1">
      <alignment horizontal="center" vertical="center"/>
      <protection locked="0"/>
    </xf>
    <xf numFmtId="0" fontId="3" fillId="16" borderId="23" xfId="0" applyFont="1" applyFill="1" applyBorder="1" applyAlignment="1" applyProtection="1">
      <alignment horizontal="center" vertical="center" wrapText="1"/>
      <protection locked="0"/>
    </xf>
    <xf numFmtId="0" fontId="3" fillId="16" borderId="17" xfId="0" applyFont="1" applyFill="1" applyBorder="1" applyAlignment="1" applyProtection="1">
      <alignment horizontal="center" vertical="center" wrapText="1"/>
      <protection locked="0"/>
    </xf>
    <xf numFmtId="0" fontId="3" fillId="16" borderId="19" xfId="0" applyFont="1" applyFill="1" applyBorder="1" applyAlignment="1" applyProtection="1">
      <alignment horizontal="center" vertical="center" wrapText="1"/>
      <protection locked="0"/>
    </xf>
    <xf numFmtId="10" fontId="3" fillId="16" borderId="40" xfId="0" applyNumberFormat="1" applyFont="1" applyFill="1" applyBorder="1" applyAlignment="1" applyProtection="1">
      <alignment horizontal="center" vertical="center"/>
      <protection locked="0"/>
    </xf>
    <xf numFmtId="4" fontId="3" fillId="16" borderId="11" xfId="0" applyNumberFormat="1" applyFont="1" applyFill="1" applyBorder="1" applyAlignment="1" applyProtection="1">
      <alignment vertical="center" wrapText="1"/>
      <protection locked="0"/>
    </xf>
    <xf numFmtId="4" fontId="3" fillId="16" borderId="12" xfId="0" applyNumberFormat="1" applyFont="1" applyFill="1" applyBorder="1" applyAlignment="1" applyProtection="1">
      <alignment vertical="center" wrapText="1"/>
      <protection locked="0"/>
    </xf>
    <xf numFmtId="4" fontId="3" fillId="16" borderId="16" xfId="0" applyNumberFormat="1" applyFont="1" applyFill="1" applyBorder="1" applyAlignment="1" applyProtection="1">
      <alignment vertical="center" wrapText="1"/>
      <protection locked="0"/>
    </xf>
    <xf numFmtId="4" fontId="3" fillId="16" borderId="22" xfId="0" applyNumberFormat="1" applyFont="1" applyFill="1" applyBorder="1" applyAlignment="1" applyProtection="1">
      <alignment vertical="center" wrapText="1"/>
      <protection locked="0"/>
    </xf>
    <xf numFmtId="4" fontId="3" fillId="16" borderId="23" xfId="0" applyNumberFormat="1" applyFont="1" applyFill="1" applyBorder="1" applyAlignment="1" applyProtection="1">
      <alignment horizontal="center" vertical="center" wrapText="1"/>
      <protection locked="0"/>
    </xf>
    <xf numFmtId="4" fontId="3" fillId="16" borderId="21" xfId="0" applyNumberFormat="1" applyFont="1" applyFill="1" applyBorder="1" applyAlignment="1" applyProtection="1">
      <alignment vertical="center" wrapText="1"/>
      <protection locked="0"/>
    </xf>
    <xf numFmtId="4" fontId="3" fillId="16" borderId="17" xfId="0" applyNumberFormat="1" applyFont="1" applyFill="1" applyBorder="1" applyAlignment="1" applyProtection="1">
      <alignment horizontal="center" vertical="center" wrapText="1"/>
      <protection locked="0"/>
    </xf>
    <xf numFmtId="4" fontId="3" fillId="16" borderId="24" xfId="0" applyNumberFormat="1" applyFont="1" applyFill="1" applyBorder="1" applyAlignment="1" applyProtection="1">
      <alignment vertical="center" wrapText="1"/>
      <protection locked="0"/>
    </xf>
    <xf numFmtId="4" fontId="3" fillId="16" borderId="19" xfId="0" applyNumberFormat="1" applyFont="1" applyFill="1" applyBorder="1" applyAlignment="1" applyProtection="1">
      <alignment horizontal="center" vertical="center" wrapText="1"/>
      <protection locked="0"/>
    </xf>
    <xf numFmtId="0" fontId="25" fillId="0" borderId="0" xfId="0" applyFont="1" applyAlignment="1">
      <alignment horizontal="right"/>
    </xf>
    <xf numFmtId="0" fontId="25" fillId="0" borderId="0" xfId="0" applyFont="1" applyAlignment="1">
      <alignment/>
    </xf>
    <xf numFmtId="4" fontId="3" fillId="16" borderId="13" xfId="0" applyNumberFormat="1" applyFont="1" applyFill="1" applyBorder="1" applyAlignment="1" applyProtection="1">
      <alignment horizontal="center" vertical="center" wrapText="1"/>
      <protection locked="0"/>
    </xf>
    <xf numFmtId="4" fontId="3" fillId="16" borderId="14" xfId="0" applyNumberFormat="1" applyFont="1" applyFill="1" applyBorder="1" applyAlignment="1" applyProtection="1">
      <alignment horizontal="center" vertical="center" wrapText="1"/>
      <protection locked="0"/>
    </xf>
    <xf numFmtId="4" fontId="3" fillId="16" borderId="15" xfId="0" applyNumberFormat="1" applyFont="1" applyFill="1" applyBorder="1" applyAlignment="1" applyProtection="1">
      <alignment horizontal="center" vertical="center" wrapText="1"/>
      <protection locked="0"/>
    </xf>
    <xf numFmtId="0" fontId="2" fillId="16" borderId="23" xfId="0" applyFont="1" applyFill="1" applyBorder="1" applyAlignment="1" applyProtection="1">
      <alignment horizontal="center" vertical="center" wrapText="1"/>
      <protection locked="0"/>
    </xf>
    <xf numFmtId="0" fontId="27" fillId="0" borderId="0" xfId="0" applyFont="1" applyAlignment="1">
      <alignment horizontal="right" vertical="top" wrapText="1"/>
    </xf>
    <xf numFmtId="0" fontId="29" fillId="0" borderId="0" xfId="0" applyFont="1" applyAlignment="1">
      <alignment/>
    </xf>
    <xf numFmtId="0" fontId="30" fillId="0" borderId="0" xfId="0" applyFont="1" applyFill="1" applyAlignment="1">
      <alignment wrapText="1"/>
    </xf>
    <xf numFmtId="0" fontId="30" fillId="0" borderId="0" xfId="0" applyFont="1" applyAlignment="1">
      <alignment wrapText="1"/>
    </xf>
    <xf numFmtId="0" fontId="30" fillId="0" borderId="0" xfId="0" applyFont="1" applyAlignment="1">
      <alignment horizontal="right"/>
    </xf>
    <xf numFmtId="0" fontId="30" fillId="0" borderId="0" xfId="0" applyFont="1" applyAlignment="1">
      <alignment/>
    </xf>
    <xf numFmtId="0" fontId="30" fillId="0" borderId="0" xfId="0" applyFont="1" applyAlignment="1">
      <alignment horizontal="left"/>
    </xf>
    <xf numFmtId="0" fontId="29" fillId="0" borderId="0" xfId="0" applyFont="1" applyAlignment="1">
      <alignment horizontal="left"/>
    </xf>
    <xf numFmtId="0" fontId="30" fillId="0" borderId="0" xfId="0" applyFont="1" applyAlignment="1">
      <alignment horizontal="right" wrapText="1"/>
    </xf>
    <xf numFmtId="0" fontId="0" fillId="16" borderId="13" xfId="0" applyFont="1" applyFill="1" applyBorder="1" applyAlignment="1" applyProtection="1">
      <alignment horizontal="center" vertical="center"/>
      <protection locked="0"/>
    </xf>
    <xf numFmtId="0" fontId="0" fillId="16" borderId="14" xfId="0" applyFont="1" applyFill="1" applyBorder="1" applyAlignment="1" applyProtection="1">
      <alignment horizontal="center" vertical="center"/>
      <protection locked="0"/>
    </xf>
    <xf numFmtId="0" fontId="0" fillId="16" borderId="15" xfId="0" applyFont="1" applyFill="1" applyBorder="1" applyAlignment="1" applyProtection="1">
      <alignment horizontal="center" vertical="center"/>
      <protection locked="0"/>
    </xf>
    <xf numFmtId="0" fontId="0" fillId="16" borderId="23" xfId="0" applyFont="1" applyFill="1" applyBorder="1" applyAlignment="1" applyProtection="1">
      <alignment horizontal="center" vertical="center"/>
      <protection locked="0"/>
    </xf>
    <xf numFmtId="0" fontId="0" fillId="16" borderId="17" xfId="0" applyFont="1" applyFill="1" applyBorder="1" applyAlignment="1" applyProtection="1">
      <alignment horizontal="center" vertical="center"/>
      <protection locked="0"/>
    </xf>
    <xf numFmtId="0" fontId="0" fillId="16" borderId="19" xfId="0" applyFont="1" applyFill="1" applyBorder="1" applyAlignment="1" applyProtection="1">
      <alignment horizontal="center" vertical="center"/>
      <protection locked="0"/>
    </xf>
    <xf numFmtId="0" fontId="31" fillId="0" borderId="0" xfId="0" applyFont="1" applyAlignment="1">
      <alignment horizontal="center" wrapText="1"/>
    </xf>
    <xf numFmtId="0" fontId="27" fillId="0" borderId="31" xfId="0" applyFont="1" applyBorder="1" applyAlignment="1">
      <alignment vertical="center" wrapText="1"/>
    </xf>
    <xf numFmtId="4" fontId="35" fillId="0" borderId="32" xfId="0" applyNumberFormat="1" applyFont="1" applyBorder="1" applyAlignment="1">
      <alignment vertical="center" wrapText="1"/>
    </xf>
    <xf numFmtId="0" fontId="34" fillId="0" borderId="18" xfId="0" applyFont="1" applyBorder="1" applyAlignment="1">
      <alignment horizontal="center" vertical="center" wrapText="1"/>
    </xf>
    <xf numFmtId="0" fontId="34" fillId="0" borderId="20" xfId="0" applyFont="1" applyBorder="1" applyAlignment="1">
      <alignment horizontal="center" vertical="center" wrapText="1"/>
    </xf>
    <xf numFmtId="4" fontId="36" fillId="0" borderId="41" xfId="0" applyNumberFormat="1" applyFont="1" applyBorder="1" applyAlignment="1">
      <alignment horizontal="center" vertical="center" wrapText="1"/>
    </xf>
    <xf numFmtId="4" fontId="36" fillId="0" borderId="42" xfId="0" applyNumberFormat="1" applyFont="1" applyBorder="1" applyAlignment="1">
      <alignment horizontal="center" vertical="center" wrapText="1"/>
    </xf>
    <xf numFmtId="4" fontId="36" fillId="0" borderId="38" xfId="0" applyNumberFormat="1" applyFont="1" applyBorder="1" applyAlignment="1">
      <alignment horizontal="center" vertical="center" wrapText="1"/>
    </xf>
    <xf numFmtId="4" fontId="36" fillId="0" borderId="34" xfId="0" applyNumberFormat="1" applyFont="1" applyBorder="1" applyAlignment="1">
      <alignment horizontal="center" vertical="center" wrapText="1"/>
    </xf>
    <xf numFmtId="0" fontId="32" fillId="0" borderId="0" xfId="0" applyFont="1" applyAlignment="1">
      <alignment vertical="top" wrapText="1"/>
    </xf>
    <xf numFmtId="0" fontId="3" fillId="0" borderId="0" xfId="0" applyFont="1" applyAlignment="1">
      <alignment horizontal="left" wrapText="1"/>
    </xf>
    <xf numFmtId="0" fontId="2" fillId="0" borderId="13" xfId="0" applyFont="1" applyBorder="1" applyAlignment="1">
      <alignment horizontal="left" wrapText="1"/>
    </xf>
    <xf numFmtId="0" fontId="2" fillId="0" borderId="22" xfId="0" applyFont="1" applyBorder="1" applyAlignment="1">
      <alignment horizontal="left" wrapText="1"/>
    </xf>
    <xf numFmtId="0" fontId="2" fillId="16" borderId="21" xfId="0" applyFont="1" applyFill="1" applyBorder="1" applyAlignment="1" applyProtection="1">
      <alignment horizontal="left" wrapText="1"/>
      <protection locked="0"/>
    </xf>
    <xf numFmtId="0" fontId="2" fillId="0" borderId="26" xfId="0" applyFont="1" applyBorder="1" applyAlignment="1">
      <alignment horizontal="left" wrapText="1"/>
    </xf>
    <xf numFmtId="0" fontId="2" fillId="0" borderId="18" xfId="0" applyFont="1" applyBorder="1" applyAlignment="1">
      <alignment horizontal="left" wrapText="1"/>
    </xf>
    <xf numFmtId="0" fontId="2" fillId="0" borderId="12" xfId="0" applyFont="1" applyBorder="1" applyAlignment="1">
      <alignment horizontal="left" wrapText="1"/>
    </xf>
    <xf numFmtId="0" fontId="2" fillId="0" borderId="15" xfId="0" applyFont="1" applyBorder="1" applyAlignment="1">
      <alignment horizontal="left" wrapText="1"/>
    </xf>
    <xf numFmtId="0" fontId="2" fillId="0" borderId="24" xfId="0" applyFont="1" applyBorder="1" applyAlignment="1">
      <alignment horizontal="left" wrapText="1"/>
    </xf>
    <xf numFmtId="0" fontId="2" fillId="16" borderId="25" xfId="0" applyFont="1" applyFill="1" applyBorder="1" applyAlignment="1" applyProtection="1">
      <alignment horizontal="center" wrapText="1"/>
      <protection locked="0"/>
    </xf>
    <xf numFmtId="0" fontId="2" fillId="16" borderId="10" xfId="0" applyFont="1" applyFill="1" applyBorder="1" applyAlignment="1" applyProtection="1">
      <alignment horizontal="center" wrapText="1"/>
      <protection locked="0"/>
    </xf>
    <xf numFmtId="0" fontId="2" fillId="16" borderId="43" xfId="0" applyFont="1" applyFill="1" applyBorder="1" applyAlignment="1" applyProtection="1">
      <alignment horizontal="center" wrapText="1"/>
      <protection locked="0"/>
    </xf>
    <xf numFmtId="0" fontId="2" fillId="16" borderId="26" xfId="0" applyFont="1" applyFill="1" applyBorder="1" applyAlignment="1" applyProtection="1">
      <alignment horizontal="center" wrapText="1"/>
      <protection locked="0"/>
    </xf>
    <xf numFmtId="0" fontId="2" fillId="16" borderId="44" xfId="0" applyFont="1" applyFill="1" applyBorder="1" applyAlignment="1" applyProtection="1">
      <alignment horizontal="center" wrapText="1"/>
      <protection locked="0"/>
    </xf>
    <xf numFmtId="0" fontId="2" fillId="16" borderId="45" xfId="0" applyFont="1" applyFill="1" applyBorder="1" applyAlignment="1" applyProtection="1">
      <alignment horizontal="center" wrapText="1"/>
      <protection locked="0"/>
    </xf>
    <xf numFmtId="0" fontId="2" fillId="16" borderId="20" xfId="0" applyFont="1" applyFill="1" applyBorder="1" applyAlignment="1" applyProtection="1">
      <alignment horizontal="center" wrapText="1"/>
      <protection locked="0"/>
    </xf>
    <xf numFmtId="0" fontId="2" fillId="16" borderId="46" xfId="0" applyFont="1" applyFill="1" applyBorder="1" applyAlignment="1" applyProtection="1">
      <alignment horizontal="center" wrapText="1"/>
      <protection locked="0"/>
    </xf>
    <xf numFmtId="0" fontId="4" fillId="0" borderId="3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9" xfId="0" applyFont="1" applyBorder="1" applyAlignment="1">
      <alignment horizontal="center" vertical="center" wrapText="1"/>
    </xf>
    <xf numFmtId="0" fontId="2" fillId="0" borderId="0" xfId="0" applyFont="1" applyBorder="1" applyAlignment="1">
      <alignment horizontal="center" wrapText="1"/>
    </xf>
    <xf numFmtId="0" fontId="2" fillId="0" borderId="2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3" fillId="0" borderId="28" xfId="0" applyFont="1" applyBorder="1" applyAlignment="1">
      <alignment horizontal="left" vertical="center" wrapText="1"/>
    </xf>
    <xf numFmtId="0" fontId="0" fillId="0" borderId="43" xfId="0" applyBorder="1" applyAlignment="1">
      <alignment vertical="center"/>
    </xf>
    <xf numFmtId="0" fontId="3" fillId="0" borderId="27" xfId="0" applyFont="1" applyBorder="1" applyAlignment="1">
      <alignment horizontal="left" vertical="center" wrapText="1"/>
    </xf>
    <xf numFmtId="0" fontId="0" fillId="0" borderId="44" xfId="0" applyBorder="1" applyAlignment="1">
      <alignment vertical="center"/>
    </xf>
    <xf numFmtId="0" fontId="3" fillId="0" borderId="54" xfId="0" applyFont="1" applyBorder="1" applyAlignment="1">
      <alignment horizontal="left" vertical="center" wrapText="1"/>
    </xf>
    <xf numFmtId="0" fontId="0" fillId="0" borderId="46" xfId="0" applyBorder="1" applyAlignment="1">
      <alignment vertical="center"/>
    </xf>
    <xf numFmtId="0" fontId="3" fillId="0" borderId="40"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28" fillId="0" borderId="0" xfId="0" applyFont="1" applyAlignment="1">
      <alignment horizontal="left" vertical="top" wrapText="1"/>
    </xf>
    <xf numFmtId="0" fontId="3" fillId="0" borderId="13" xfId="0" applyFont="1" applyBorder="1" applyAlignment="1">
      <alignment horizontal="left" vertical="center" wrapText="1"/>
    </xf>
    <xf numFmtId="0" fontId="3" fillId="0" borderId="25" xfId="0" applyFont="1" applyBorder="1" applyAlignment="1">
      <alignment horizontal="left" vertical="center" wrapText="1"/>
    </xf>
    <xf numFmtId="4" fontId="3" fillId="0" borderId="58" xfId="0" applyNumberFormat="1" applyFont="1" applyBorder="1" applyAlignment="1">
      <alignment horizontal="center" vertical="center"/>
    </xf>
    <xf numFmtId="4" fontId="3" fillId="0" borderId="59" xfId="0" applyNumberFormat="1" applyFont="1" applyBorder="1" applyAlignment="1">
      <alignment horizontal="center" vertical="center"/>
    </xf>
    <xf numFmtId="4" fontId="3" fillId="0" borderId="60" xfId="0" applyNumberFormat="1" applyFont="1" applyBorder="1" applyAlignment="1">
      <alignment horizontal="center" vertical="center"/>
    </xf>
    <xf numFmtId="4" fontId="3" fillId="0" borderId="21" xfId="0" applyNumberFormat="1" applyFont="1" applyBorder="1" applyAlignment="1">
      <alignment horizontal="center" vertical="center" wrapText="1"/>
    </xf>
    <xf numFmtId="4" fontId="3" fillId="0" borderId="26" xfId="0" applyNumberFormat="1" applyFont="1" applyBorder="1" applyAlignment="1">
      <alignment horizontal="center" vertical="center" wrapText="1"/>
    </xf>
    <xf numFmtId="0" fontId="33" fillId="0" borderId="36"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43" xfId="0" applyFont="1" applyBorder="1" applyAlignment="1">
      <alignment horizontal="center" vertical="center" wrapText="1"/>
    </xf>
    <xf numFmtId="4" fontId="34" fillId="0" borderId="41" xfId="0" applyNumberFormat="1" applyFont="1" applyBorder="1" applyAlignment="1">
      <alignment horizontal="right" vertical="center" wrapText="1"/>
    </xf>
    <xf numFmtId="4" fontId="34" fillId="0" borderId="42" xfId="0" applyNumberFormat="1" applyFont="1" applyBorder="1" applyAlignment="1">
      <alignment horizontal="right" vertical="center" wrapText="1"/>
    </xf>
    <xf numFmtId="4" fontId="34" fillId="0" borderId="38" xfId="0" applyNumberFormat="1" applyFont="1" applyBorder="1" applyAlignment="1">
      <alignment horizontal="right" vertical="center" wrapText="1"/>
    </xf>
    <xf numFmtId="4" fontId="34" fillId="0" borderId="34" xfId="0" applyNumberFormat="1" applyFont="1" applyBorder="1" applyAlignment="1">
      <alignment horizontal="right" vertical="center" wrapText="1"/>
    </xf>
    <xf numFmtId="0" fontId="34" fillId="0" borderId="39" xfId="0" applyFont="1" applyBorder="1" applyAlignment="1">
      <alignment horizontal="left" vertical="center" wrapText="1"/>
    </xf>
    <xf numFmtId="0" fontId="34" fillId="0" borderId="61" xfId="0" applyFont="1" applyBorder="1" applyAlignment="1">
      <alignment horizontal="left" vertical="center" wrapText="1"/>
    </xf>
    <xf numFmtId="0" fontId="34" fillId="0" borderId="62" xfId="0" applyFont="1" applyBorder="1" applyAlignment="1">
      <alignment horizontal="right" vertical="center" wrapText="1"/>
    </xf>
    <xf numFmtId="0" fontId="34" fillId="0" borderId="63" xfId="0" applyFont="1" applyBorder="1" applyAlignment="1">
      <alignment horizontal="right" vertical="center" wrapText="1"/>
    </xf>
    <xf numFmtId="0" fontId="34" fillId="0" borderId="64" xfId="0" applyFont="1" applyBorder="1" applyAlignment="1">
      <alignment horizontal="left" vertical="center" wrapText="1"/>
    </xf>
    <xf numFmtId="0" fontId="34" fillId="0" borderId="35" xfId="0" applyFont="1" applyBorder="1" applyAlignment="1">
      <alignment horizontal="left" vertical="center" wrapText="1"/>
    </xf>
    <xf numFmtId="0" fontId="36" fillId="0" borderId="64" xfId="0" applyFont="1" applyBorder="1" applyAlignment="1">
      <alignment horizontal="left" vertical="center" wrapText="1"/>
    </xf>
    <xf numFmtId="0" fontId="36" fillId="0" borderId="35" xfId="0" applyFont="1" applyBorder="1" applyAlignment="1">
      <alignment horizontal="left" vertical="center" wrapText="1"/>
    </xf>
    <xf numFmtId="0" fontId="2" fillId="0" borderId="58" xfId="0" applyFont="1" applyBorder="1" applyAlignment="1">
      <alignment horizontal="right" vertical="center"/>
    </xf>
    <xf numFmtId="0" fontId="2" fillId="0" borderId="59" xfId="0" applyFont="1" applyBorder="1" applyAlignment="1">
      <alignment horizontal="right" vertical="center"/>
    </xf>
    <xf numFmtId="0" fontId="2" fillId="0" borderId="60" xfId="0" applyFont="1" applyBorder="1" applyAlignment="1">
      <alignment horizontal="right" vertical="center"/>
    </xf>
    <xf numFmtId="4" fontId="2" fillId="0" borderId="65" xfId="0" applyNumberFormat="1" applyFont="1" applyBorder="1" applyAlignment="1">
      <alignment horizontal="center" vertical="center"/>
    </xf>
    <xf numFmtId="4" fontId="2" fillId="0" borderId="66" xfId="0" applyNumberFormat="1" applyFont="1" applyBorder="1" applyAlignment="1">
      <alignment horizontal="center" vertical="center"/>
    </xf>
    <xf numFmtId="4" fontId="2" fillId="0" borderId="67" xfId="0" applyNumberFormat="1" applyFont="1" applyBorder="1" applyAlignment="1">
      <alignment horizontal="center" vertical="center"/>
    </xf>
    <xf numFmtId="4" fontId="3" fillId="0" borderId="15" xfId="0" applyNumberFormat="1" applyFont="1" applyBorder="1" applyAlignment="1">
      <alignment horizontal="center" vertical="center"/>
    </xf>
    <xf numFmtId="4" fontId="3" fillId="0" borderId="24" xfId="0" applyNumberFormat="1" applyFont="1" applyBorder="1" applyAlignment="1">
      <alignment horizontal="center" vertical="center"/>
    </xf>
    <xf numFmtId="4" fontId="3" fillId="0" borderId="19" xfId="0" applyNumberFormat="1" applyFont="1" applyBorder="1" applyAlignment="1">
      <alignment horizontal="center" vertical="center"/>
    </xf>
    <xf numFmtId="4" fontId="3" fillId="0" borderId="24" xfId="0" applyNumberFormat="1" applyFont="1" applyBorder="1" applyAlignment="1">
      <alignment horizontal="center" vertical="center" wrapText="1"/>
    </xf>
    <xf numFmtId="4" fontId="3" fillId="0" borderId="45"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21" xfId="0" applyFont="1" applyBorder="1" applyAlignment="1">
      <alignment horizontal="left" vertical="center" wrapText="1"/>
    </xf>
    <xf numFmtId="0" fontId="3"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20" xfId="0" applyFont="1" applyBorder="1" applyAlignment="1">
      <alignment horizontal="left" vertical="center" wrapText="1"/>
    </xf>
    <xf numFmtId="4" fontId="3" fillId="0" borderId="14" xfId="0" applyNumberFormat="1" applyFont="1" applyBorder="1" applyAlignment="1">
      <alignment horizontal="center" vertical="center"/>
    </xf>
    <xf numFmtId="4" fontId="3" fillId="0" borderId="21"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3" fillId="0" borderId="22"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0" fontId="5" fillId="0" borderId="68" xfId="0" applyFont="1" applyBorder="1" applyAlignment="1">
      <alignment horizontal="center" vertical="center" wrapText="1"/>
    </xf>
    <xf numFmtId="0" fontId="5" fillId="0" borderId="57" xfId="0" applyFont="1" applyBorder="1" applyAlignment="1">
      <alignment horizontal="center" vertical="center"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4" fontId="3" fillId="0" borderId="13" xfId="0" applyNumberFormat="1" applyFont="1" applyBorder="1" applyAlignment="1">
      <alignment horizontal="center" vertical="center"/>
    </xf>
    <xf numFmtId="4" fontId="3" fillId="0" borderId="22" xfId="0" applyNumberFormat="1" applyFont="1" applyBorder="1" applyAlignment="1">
      <alignment horizontal="center" vertical="center"/>
    </xf>
    <xf numFmtId="4" fontId="3" fillId="0" borderId="23" xfId="0" applyNumberFormat="1" applyFont="1" applyBorder="1" applyAlignment="1">
      <alignment horizontal="center" vertical="center"/>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2" fillId="0" borderId="36"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8"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70" xfId="0" applyFont="1" applyBorder="1" applyAlignment="1">
      <alignment horizontal="center" vertical="center" wrapText="1"/>
    </xf>
    <xf numFmtId="0" fontId="3" fillId="0" borderId="29"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62" xfId="0" applyFont="1" applyBorder="1" applyAlignment="1">
      <alignment horizontal="center" vertical="center" wrapText="1"/>
    </xf>
    <xf numFmtId="0" fontId="3" fillId="0" borderId="42" xfId="0" applyFont="1" applyBorder="1" applyAlignment="1">
      <alignment horizontal="center" vertical="center" wrapText="1"/>
    </xf>
    <xf numFmtId="0" fontId="27" fillId="0" borderId="36" xfId="0" applyFont="1" applyBorder="1" applyAlignment="1">
      <alignment horizontal="center" vertical="center"/>
    </xf>
    <xf numFmtId="0" fontId="2" fillId="0" borderId="31"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527390809@27022009-1746"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19050</xdr:rowOff>
    </xdr:from>
    <xdr:to>
      <xdr:col>3</xdr:col>
      <xdr:colOff>200025</xdr:colOff>
      <xdr:row>3</xdr:row>
      <xdr:rowOff>152400</xdr:rowOff>
    </xdr:to>
    <xdr:pic>
      <xdr:nvPicPr>
        <xdr:cNvPr id="1" name="Picture 1" descr="cid:527390809@27022009-1746"/>
        <xdr:cNvPicPr preferRelativeResize="1">
          <a:picLocks noChangeAspect="1"/>
        </xdr:cNvPicPr>
      </xdr:nvPicPr>
      <xdr:blipFill>
        <a:blip r:link="rId1"/>
        <a:stretch>
          <a:fillRect/>
        </a:stretch>
      </xdr:blipFill>
      <xdr:spPr>
        <a:xfrm>
          <a:off x="133350" y="180975"/>
          <a:ext cx="20764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6"/>
  <sheetViews>
    <sheetView showGridLines="0" showRowColHeaders="0" showZeros="0" tabSelected="1" showOutlineSymbols="0" workbookViewId="0" topLeftCell="A1">
      <selection activeCell="F10" sqref="F10"/>
    </sheetView>
  </sheetViews>
  <sheetFormatPr defaultColWidth="0" defaultRowHeight="12.75" zeroHeight="1"/>
  <cols>
    <col min="1" max="1" width="11.140625" style="1" customWidth="1"/>
    <col min="2" max="2" width="7.421875" style="2" customWidth="1"/>
    <col min="3" max="3" width="11.57421875" style="2" customWidth="1"/>
    <col min="4" max="5" width="7.7109375" style="2" customWidth="1"/>
    <col min="6" max="6" width="14.00390625" style="2" customWidth="1"/>
    <col min="7" max="7" width="13.28125" style="2" customWidth="1"/>
    <col min="8" max="8" width="11.8515625" style="2" customWidth="1"/>
    <col min="9" max="9" width="11.7109375" style="3" customWidth="1"/>
    <col min="10" max="10" width="13.28125" style="3" hidden="1" customWidth="1"/>
    <col min="11" max="11" width="13.140625" style="3" customWidth="1"/>
    <col min="12" max="12" width="7.7109375" style="3" customWidth="1"/>
    <col min="13" max="13" width="9.7109375" style="3" customWidth="1"/>
    <col min="14" max="14" width="15.421875" style="3" customWidth="1"/>
    <col min="15" max="15" width="2.00390625" style="2" customWidth="1"/>
    <col min="16" max="16384" width="0" style="2" hidden="1" customWidth="1"/>
  </cols>
  <sheetData>
    <row r="1" spans="9:16" ht="12.75" thickBot="1">
      <c r="I1" s="2"/>
      <c r="J1" s="2"/>
      <c r="K1" s="2"/>
      <c r="N1" s="135" t="s">
        <v>124</v>
      </c>
      <c r="O1" s="3"/>
      <c r="P1" s="3"/>
    </row>
    <row r="2" spans="1:18" ht="12.75" customHeight="1">
      <c r="A2" s="56"/>
      <c r="B2" s="51"/>
      <c r="C2" s="51"/>
      <c r="D2" s="52"/>
      <c r="E2" s="34"/>
      <c r="F2" s="146" t="s">
        <v>43</v>
      </c>
      <c r="G2" s="147"/>
      <c r="H2" s="154"/>
      <c r="I2" s="155"/>
      <c r="J2" s="155"/>
      <c r="K2" s="155"/>
      <c r="L2" s="155"/>
      <c r="M2" s="155"/>
      <c r="N2" s="156"/>
      <c r="O2" s="72"/>
      <c r="P2" s="72"/>
      <c r="Q2" s="72"/>
      <c r="R2" s="72"/>
    </row>
    <row r="3" spans="1:18" ht="12" customHeight="1">
      <c r="A3" s="57"/>
      <c r="B3" s="34"/>
      <c r="C3" s="34"/>
      <c r="D3" s="53"/>
      <c r="E3" s="34"/>
      <c r="F3" s="59" t="s">
        <v>40</v>
      </c>
      <c r="G3" s="148"/>
      <c r="H3" s="148"/>
      <c r="I3" s="148"/>
      <c r="J3" s="149" t="s">
        <v>41</v>
      </c>
      <c r="K3" s="150"/>
      <c r="L3" s="151"/>
      <c r="M3" s="157"/>
      <c r="N3" s="158"/>
      <c r="O3" s="72"/>
      <c r="P3" s="72"/>
      <c r="Q3" s="72"/>
      <c r="R3" s="72"/>
    </row>
    <row r="4" spans="1:18" ht="13.5" customHeight="1" thickBot="1">
      <c r="A4" s="58"/>
      <c r="B4" s="54"/>
      <c r="C4" s="54"/>
      <c r="D4" s="55"/>
      <c r="E4" s="34"/>
      <c r="F4" s="152" t="s">
        <v>42</v>
      </c>
      <c r="G4" s="153"/>
      <c r="H4" s="153"/>
      <c r="I4" s="159"/>
      <c r="J4" s="160"/>
      <c r="K4" s="160"/>
      <c r="L4" s="160"/>
      <c r="M4" s="160"/>
      <c r="N4" s="161"/>
      <c r="O4" s="72"/>
      <c r="P4" s="72"/>
      <c r="Q4" s="177"/>
      <c r="R4" s="177"/>
    </row>
    <row r="5" spans="9:16" ht="12.75" thickBot="1">
      <c r="I5" s="2"/>
      <c r="J5" s="2"/>
      <c r="K5" s="2"/>
      <c r="O5" s="3"/>
      <c r="P5" s="3"/>
    </row>
    <row r="6" spans="1:14" ht="20.25" customHeight="1">
      <c r="A6" s="162" t="s">
        <v>0</v>
      </c>
      <c r="B6" s="163"/>
      <c r="C6" s="164"/>
      <c r="D6" s="171" t="s">
        <v>28</v>
      </c>
      <c r="E6" s="172"/>
      <c r="F6" s="178" t="s">
        <v>27</v>
      </c>
      <c r="G6" s="179"/>
      <c r="H6" s="179"/>
      <c r="I6" s="180"/>
      <c r="J6" s="4"/>
      <c r="K6" s="178" t="s">
        <v>47</v>
      </c>
      <c r="L6" s="179"/>
      <c r="M6" s="179"/>
      <c r="N6" s="180"/>
    </row>
    <row r="7" spans="1:14" ht="15" customHeight="1">
      <c r="A7" s="165"/>
      <c r="B7" s="166"/>
      <c r="C7" s="167"/>
      <c r="D7" s="173"/>
      <c r="E7" s="174"/>
      <c r="F7" s="181" t="s">
        <v>26</v>
      </c>
      <c r="G7" s="175" t="s">
        <v>24</v>
      </c>
      <c r="H7" s="175" t="s">
        <v>25</v>
      </c>
      <c r="I7" s="16" t="s">
        <v>1</v>
      </c>
      <c r="J7" s="17" t="s">
        <v>1</v>
      </c>
      <c r="K7" s="181" t="s">
        <v>2</v>
      </c>
      <c r="L7" s="175" t="s">
        <v>3</v>
      </c>
      <c r="M7" s="175" t="s">
        <v>49</v>
      </c>
      <c r="N7" s="192" t="s">
        <v>48</v>
      </c>
    </row>
    <row r="8" spans="1:14" ht="20.25" customHeight="1" thickBot="1">
      <c r="A8" s="168"/>
      <c r="B8" s="169"/>
      <c r="C8" s="170"/>
      <c r="D8" s="21" t="s">
        <v>22</v>
      </c>
      <c r="E8" s="22" t="s">
        <v>23</v>
      </c>
      <c r="F8" s="182"/>
      <c r="G8" s="176"/>
      <c r="H8" s="176"/>
      <c r="I8" s="18" t="s">
        <v>4</v>
      </c>
      <c r="J8" s="19" t="s">
        <v>4</v>
      </c>
      <c r="K8" s="182"/>
      <c r="L8" s="176"/>
      <c r="M8" s="176"/>
      <c r="N8" s="193"/>
    </row>
    <row r="9" spans="2:8" ht="5.25" customHeight="1" thickBot="1">
      <c r="B9" s="5"/>
      <c r="C9" s="5"/>
      <c r="D9" s="5"/>
      <c r="E9" s="5"/>
      <c r="F9" s="5"/>
      <c r="G9" s="5"/>
      <c r="H9" s="5"/>
    </row>
    <row r="10" spans="1:14" ht="19.5" customHeight="1">
      <c r="A10" s="183" t="s">
        <v>5</v>
      </c>
      <c r="B10" s="186" t="s">
        <v>6</v>
      </c>
      <c r="C10" s="187"/>
      <c r="D10" s="129"/>
      <c r="E10" s="132"/>
      <c r="F10" s="116"/>
      <c r="G10" s="38">
        <f>F10*$I$10/$J$10</f>
        <v>0</v>
      </c>
      <c r="H10" s="38">
        <f>F10*$I$10</f>
        <v>0</v>
      </c>
      <c r="I10" s="41">
        <v>2</v>
      </c>
      <c r="J10" s="23">
        <v>1.67</v>
      </c>
      <c r="K10" s="8" t="str">
        <f>IF(D10&lt;&gt;0,170504,IF(E10&lt;&gt;0,170503,"-"))</f>
        <v>-</v>
      </c>
      <c r="L10" s="26" t="str">
        <f>IF(D10&lt;&gt;0,"NP",IF(E10&lt;&gt;0,"P","-"))</f>
        <v>-</v>
      </c>
      <c r="M10" s="26" t="str">
        <f>IF(D10&lt;&gt;0,"D5-D8",IF(E10&lt;&gt;0,"D5-D9","-"))</f>
        <v>-</v>
      </c>
      <c r="N10" s="27" t="str">
        <f>IF(D10&lt;&gt;0,"R5-R10",IF(E10&lt;&gt;0,"-","-"))</f>
        <v>-</v>
      </c>
    </row>
    <row r="11" spans="1:14" ht="19.5" customHeight="1">
      <c r="A11" s="184"/>
      <c r="B11" s="188" t="s">
        <v>8</v>
      </c>
      <c r="C11" s="189"/>
      <c r="D11" s="130"/>
      <c r="E11" s="133"/>
      <c r="F11" s="117"/>
      <c r="G11" s="39">
        <f>F11*$I$11/$J$11</f>
        <v>0</v>
      </c>
      <c r="H11" s="39">
        <f>F11*$I$11</f>
        <v>0</v>
      </c>
      <c r="I11" s="37">
        <v>1.7</v>
      </c>
      <c r="J11" s="24">
        <v>1.41</v>
      </c>
      <c r="K11" s="9" t="str">
        <f>IF(D11&lt;&gt;0,170504,IF(E11&lt;&gt;0,170503,"-"))</f>
        <v>-</v>
      </c>
      <c r="L11" s="20" t="str">
        <f>IF(D11&lt;&gt;0,"NP",IF(E11&lt;&gt;0,"P","-"))</f>
        <v>-</v>
      </c>
      <c r="M11" s="20" t="str">
        <f>IF(D11&lt;&gt;0,"D5-D8",IF(E11&lt;&gt;0,"D5-D9","-"))</f>
        <v>-</v>
      </c>
      <c r="N11" s="16" t="str">
        <f>IF(D11&lt;&gt;0,"R5-R10",IF(E11&lt;&gt;0,"-","-"))</f>
        <v>-</v>
      </c>
    </row>
    <row r="12" spans="1:14" ht="19.5" customHeight="1" thickBot="1">
      <c r="A12" s="185"/>
      <c r="B12" s="190" t="s">
        <v>9</v>
      </c>
      <c r="C12" s="191"/>
      <c r="D12" s="131"/>
      <c r="E12" s="134"/>
      <c r="F12" s="118"/>
      <c r="G12" s="40">
        <f>F12*$I$12/$J$12</f>
        <v>0</v>
      </c>
      <c r="H12" s="40">
        <f>F12*$I$12</f>
        <v>0</v>
      </c>
      <c r="I12" s="42">
        <v>2.1</v>
      </c>
      <c r="J12" s="25">
        <v>1.75</v>
      </c>
      <c r="K12" s="10" t="str">
        <f>IF(D12&lt;&gt;0,"010409",IF(E12&lt;&gt;0,170503,"-"))</f>
        <v>-</v>
      </c>
      <c r="L12" s="28" t="str">
        <f>IF(D12&lt;&gt;0,"NP",IF(E12&lt;&gt;0,"P","-"))</f>
        <v>-</v>
      </c>
      <c r="M12" s="28" t="str">
        <f>IF(D12&lt;&gt;0,"SENSE GESTIÓ",IF(E12&lt;&gt;0,"D5-D9","-"))</f>
        <v>-</v>
      </c>
      <c r="N12" s="18" t="str">
        <f>IF(D12&lt;&gt;0,"SENSE GESTIÓ",IF(E12&lt;&gt;0,"-","-"))</f>
        <v>-</v>
      </c>
    </row>
    <row r="13" spans="2:10" ht="19.5" customHeight="1" thickBot="1">
      <c r="B13" s="5"/>
      <c r="C13" s="5"/>
      <c r="D13" s="5"/>
      <c r="E13" s="5"/>
      <c r="F13" s="43"/>
      <c r="G13" s="43"/>
      <c r="H13" s="43"/>
      <c r="I13" s="12"/>
      <c r="J13" s="12"/>
    </row>
    <row r="14" spans="1:14" ht="19.5" customHeight="1">
      <c r="A14" s="183" t="s">
        <v>10</v>
      </c>
      <c r="B14" s="200" t="s">
        <v>11</v>
      </c>
      <c r="C14" s="201"/>
      <c r="D14" s="129"/>
      <c r="E14" s="132"/>
      <c r="F14" s="116"/>
      <c r="G14" s="38">
        <f>F14*$I$14/$J$14</f>
        <v>0</v>
      </c>
      <c r="H14" s="38">
        <f>F14*$I$14</f>
        <v>0</v>
      </c>
      <c r="I14" s="41">
        <v>1.7</v>
      </c>
      <c r="J14" s="6">
        <v>1.41</v>
      </c>
      <c r="K14" s="8" t="str">
        <f>IF(D14&lt;&gt;0,200202,IF(E14&lt;&gt;0,170503,"-"))</f>
        <v>-</v>
      </c>
      <c r="L14" s="26" t="str">
        <f>IF(D14&lt;&gt;0,"NP",IF(E14&lt;&gt;0,"P","-"))</f>
        <v>-</v>
      </c>
      <c r="M14" s="26" t="str">
        <f>IF(D14&lt;&gt;0,"D5",IF(E14&lt;&gt;0,"D5-D9","-"))</f>
        <v>-</v>
      </c>
      <c r="N14" s="27" t="str">
        <f>IF(D14&lt;&gt;0,"R5-R10",IF(E14&lt;&gt;0,"-","-"))</f>
        <v>-</v>
      </c>
    </row>
    <row r="15" spans="1:14" ht="19.5" customHeight="1">
      <c r="A15" s="184"/>
      <c r="B15" s="262" t="s">
        <v>12</v>
      </c>
      <c r="C15" s="245"/>
      <c r="D15" s="130"/>
      <c r="E15" s="133"/>
      <c r="F15" s="117"/>
      <c r="G15" s="39">
        <f>F15*$I$15/$J$15</f>
        <v>0</v>
      </c>
      <c r="H15" s="39">
        <f>F15*$I$15</f>
        <v>0</v>
      </c>
      <c r="I15" s="37">
        <v>1.7</v>
      </c>
      <c r="J15" s="7">
        <v>1.41</v>
      </c>
      <c r="K15" s="9" t="str">
        <f>IF(D15&lt;&gt;0,170504,IF(E15&lt;&gt;0,170503,"-"))</f>
        <v>-</v>
      </c>
      <c r="L15" s="20" t="str">
        <f>IF(D15&lt;&gt;0,"NP",IF(E15&lt;&gt;0,"P","-"))</f>
        <v>-</v>
      </c>
      <c r="M15" s="20" t="str">
        <f>IF(D15&lt;&gt;0,"D5-D8",IF(E15&lt;&gt;0,"D5-D9","-"))</f>
        <v>-</v>
      </c>
      <c r="N15" s="16" t="str">
        <f>IF(D15&lt;&gt;0,"R5-R10",IF(E15&lt;&gt;0,"-","-"))</f>
        <v>-</v>
      </c>
    </row>
    <row r="16" spans="1:14" ht="19.5" customHeight="1" thickBot="1">
      <c r="A16" s="185"/>
      <c r="B16" s="261" t="s">
        <v>13</v>
      </c>
      <c r="C16" s="247"/>
      <c r="D16" s="131"/>
      <c r="E16" s="134"/>
      <c r="F16" s="118"/>
      <c r="G16" s="40">
        <f>F16*$I$16/$J$16</f>
        <v>0</v>
      </c>
      <c r="H16" s="40">
        <f>F16*$I$16</f>
        <v>0</v>
      </c>
      <c r="I16" s="42">
        <v>1.8</v>
      </c>
      <c r="J16" s="11">
        <v>1.5</v>
      </c>
      <c r="K16" s="10" t="str">
        <f>IF(D16&lt;&gt;0,170504,IF(E16&lt;&gt;0,170503,"-"))</f>
        <v>-</v>
      </c>
      <c r="L16" s="28" t="str">
        <f>IF(D16&lt;&gt;0,"NP",IF(E16&lt;&gt;0,"P","-"))</f>
        <v>-</v>
      </c>
      <c r="M16" s="28" t="str">
        <f>IF(D16&lt;&gt;0,"D5-D8",IF(E16&lt;&gt;0,"D5-D9","-"))</f>
        <v>-</v>
      </c>
      <c r="N16" s="18" t="str">
        <f>IF(D16&lt;&gt;0,"R5-R10",IF(E16&lt;&gt;0,"-","-"))</f>
        <v>-</v>
      </c>
    </row>
    <row r="17" spans="2:10" ht="19.5" customHeight="1" thickBot="1">
      <c r="B17" s="13"/>
      <c r="F17" s="12"/>
      <c r="G17" s="12"/>
      <c r="H17" s="12"/>
      <c r="I17" s="14"/>
      <c r="J17" s="14"/>
    </row>
    <row r="18" spans="1:14" ht="19.5" customHeight="1">
      <c r="A18" s="194" t="s">
        <v>14</v>
      </c>
      <c r="B18" s="197" t="s">
        <v>15</v>
      </c>
      <c r="C18" s="29" t="s">
        <v>16</v>
      </c>
      <c r="D18" s="129"/>
      <c r="E18" s="132"/>
      <c r="F18" s="116"/>
      <c r="G18" s="38">
        <f>F18*J18</f>
        <v>0</v>
      </c>
      <c r="H18" s="38">
        <f>F18*I18</f>
        <v>0</v>
      </c>
      <c r="I18" s="101"/>
      <c r="J18" s="30">
        <v>1.2</v>
      </c>
      <c r="K18" s="35" t="str">
        <f>IF(D18&lt;&gt;0,"0105",IF(E18&lt;&gt;0,"010506","-"))</f>
        <v>-</v>
      </c>
      <c r="L18" s="26" t="str">
        <f>IF(D18&lt;&gt;0,"NP",IF(E18&lt;&gt;0,"P","-"))</f>
        <v>-</v>
      </c>
      <c r="M18" s="36" t="str">
        <f>IF(D18&lt;&gt;0,"SENSE GESTIÓ",IF(E18&lt;&gt;0,"SENSE GESTIÓ","-"))</f>
        <v>-</v>
      </c>
      <c r="N18" s="27" t="str">
        <f>IF(D18&lt;&gt;0,"SENSE GESTIÓ",IF(E18&lt;&gt;0,"SENSE GESTIÓ","-"))</f>
        <v>-</v>
      </c>
    </row>
    <row r="19" spans="1:14" ht="19.5" customHeight="1">
      <c r="A19" s="195"/>
      <c r="B19" s="198"/>
      <c r="C19" s="31" t="s">
        <v>17</v>
      </c>
      <c r="D19" s="130"/>
      <c r="E19" s="133"/>
      <c r="F19" s="117"/>
      <c r="G19" s="39">
        <f>F19*J19</f>
        <v>0</v>
      </c>
      <c r="H19" s="39">
        <f>F19*I19</f>
        <v>0</v>
      </c>
      <c r="I19" s="102"/>
      <c r="J19" s="17">
        <v>1.2</v>
      </c>
      <c r="K19" s="33" t="str">
        <f>IF(D19&lt;&gt;0,170506,IF(E19&lt;&gt;0,170505,"-"))</f>
        <v>-</v>
      </c>
      <c r="L19" s="20" t="str">
        <f>IF(D19&lt;&gt;0,"NP",IF(E19&lt;&gt;0,"P","-"))</f>
        <v>-</v>
      </c>
      <c r="M19" s="32" t="str">
        <f>IF(D19&lt;&gt;0,"D5-D8-D9",IF(E19&lt;&gt;0,"D5-D9","-"))</f>
        <v>-</v>
      </c>
      <c r="N19" s="16" t="str">
        <f>IF(D19&lt;&gt;0,"R5-R10",IF(E19&lt;&gt;0,"-","-"))</f>
        <v>-</v>
      </c>
    </row>
    <row r="20" spans="1:14" ht="19.5" customHeight="1" thickBot="1">
      <c r="A20" s="196"/>
      <c r="B20" s="261" t="s">
        <v>18</v>
      </c>
      <c r="C20" s="247"/>
      <c r="D20" s="99"/>
      <c r="E20" s="100"/>
      <c r="F20" s="118"/>
      <c r="G20" s="40">
        <f>F20*J20</f>
        <v>0</v>
      </c>
      <c r="H20" s="40">
        <f>F20*I20</f>
        <v>0</v>
      </c>
      <c r="I20" s="103"/>
      <c r="J20" s="19">
        <v>1.2</v>
      </c>
      <c r="K20" s="10" t="s">
        <v>7</v>
      </c>
      <c r="L20" s="28" t="s">
        <v>7</v>
      </c>
      <c r="M20" s="28" t="s">
        <v>7</v>
      </c>
      <c r="N20" s="18" t="s">
        <v>7</v>
      </c>
    </row>
    <row r="21" ht="5.25" customHeight="1"/>
    <row r="22" ht="5.25" customHeight="1"/>
    <row r="23" spans="1:17" ht="36" customHeight="1">
      <c r="A23" s="120" t="s">
        <v>20</v>
      </c>
      <c r="B23" s="199" t="s">
        <v>125</v>
      </c>
      <c r="C23" s="199"/>
      <c r="D23" s="199"/>
      <c r="E23" s="199"/>
      <c r="F23" s="199"/>
      <c r="G23" s="199"/>
      <c r="H23" s="199"/>
      <c r="I23" s="199"/>
      <c r="J23" s="199"/>
      <c r="K23" s="199"/>
      <c r="L23" s="199"/>
      <c r="M23" s="199"/>
      <c r="N23" s="199"/>
      <c r="O23" s="199"/>
      <c r="P23" s="199"/>
      <c r="Q23" s="199"/>
    </row>
    <row r="24" spans="1:17" ht="12" customHeight="1">
      <c r="A24" s="120"/>
      <c r="B24" s="199"/>
      <c r="C24" s="199"/>
      <c r="D24" s="199"/>
      <c r="E24" s="199"/>
      <c r="F24" s="199"/>
      <c r="G24" s="199"/>
      <c r="H24" s="199"/>
      <c r="I24" s="199"/>
      <c r="J24" s="199"/>
      <c r="K24" s="199"/>
      <c r="L24" s="199"/>
      <c r="M24" s="199"/>
      <c r="N24" s="199"/>
      <c r="O24" s="199"/>
      <c r="P24" s="199"/>
      <c r="Q24" s="199"/>
    </row>
    <row r="25" spans="1:17" ht="12">
      <c r="A25" s="120" t="s">
        <v>21</v>
      </c>
      <c r="B25" s="199" t="s">
        <v>126</v>
      </c>
      <c r="C25" s="199"/>
      <c r="D25" s="199"/>
      <c r="E25" s="199"/>
      <c r="F25" s="199"/>
      <c r="G25" s="199"/>
      <c r="H25" s="199"/>
      <c r="I25" s="199"/>
      <c r="J25" s="199"/>
      <c r="K25" s="199"/>
      <c r="L25" s="199"/>
      <c r="M25" s="199"/>
      <c r="N25" s="199"/>
      <c r="O25" s="199"/>
      <c r="P25" s="199"/>
      <c r="Q25" s="199"/>
    </row>
    <row r="26" spans="1:17" ht="12">
      <c r="A26" s="120"/>
      <c r="B26" s="199"/>
      <c r="C26" s="199"/>
      <c r="D26" s="199"/>
      <c r="E26" s="199"/>
      <c r="F26" s="199"/>
      <c r="G26" s="199"/>
      <c r="H26" s="199"/>
      <c r="I26" s="199"/>
      <c r="J26" s="199"/>
      <c r="K26" s="199"/>
      <c r="L26" s="199"/>
      <c r="M26" s="199"/>
      <c r="N26" s="199"/>
      <c r="O26" s="199"/>
      <c r="P26" s="199"/>
      <c r="Q26" s="199"/>
    </row>
    <row r="27" spans="1:14" ht="12.75" thickBot="1">
      <c r="A27" s="15"/>
      <c r="B27" s="50"/>
      <c r="C27" s="50"/>
      <c r="D27" s="50"/>
      <c r="E27" s="50"/>
      <c r="F27" s="50"/>
      <c r="G27" s="50"/>
      <c r="H27" s="50"/>
      <c r="I27" s="50"/>
      <c r="J27" s="50"/>
      <c r="K27" s="50"/>
      <c r="L27" s="50"/>
      <c r="M27" s="50"/>
      <c r="N27" s="50"/>
    </row>
    <row r="28" spans="1:20" s="34" customFormat="1" ht="21.75" customHeight="1" thickBot="1">
      <c r="A28" s="274" t="s">
        <v>123</v>
      </c>
      <c r="B28" s="275"/>
      <c r="C28" s="275"/>
      <c r="D28" s="275"/>
      <c r="E28" s="276"/>
      <c r="F28" s="276"/>
      <c r="G28" s="276"/>
      <c r="H28" s="276"/>
      <c r="I28" s="276"/>
      <c r="J28" s="276"/>
      <c r="K28" s="276"/>
      <c r="L28" s="276"/>
      <c r="M28" s="276"/>
      <c r="N28" s="277"/>
      <c r="O28" s="63"/>
      <c r="P28" s="63"/>
      <c r="Q28" s="63"/>
      <c r="R28" s="63"/>
      <c r="S28" s="63"/>
      <c r="T28" s="63"/>
    </row>
    <row r="29" spans="1:14" ht="24" customHeight="1">
      <c r="A29" s="263" t="s">
        <v>31</v>
      </c>
      <c r="B29" s="264"/>
      <c r="C29" s="264"/>
      <c r="D29" s="264"/>
      <c r="E29" s="267" t="s">
        <v>45</v>
      </c>
      <c r="F29" s="268"/>
      <c r="G29" s="66" t="s">
        <v>29</v>
      </c>
      <c r="H29" s="269" t="s">
        <v>33</v>
      </c>
      <c r="I29" s="269"/>
      <c r="J29" s="269"/>
      <c r="K29" s="269"/>
      <c r="L29" s="178" t="s">
        <v>131</v>
      </c>
      <c r="M29" s="179"/>
      <c r="N29" s="119">
        <v>6</v>
      </c>
    </row>
    <row r="30" spans="1:14" ht="12.75" customHeight="1" thickBot="1">
      <c r="A30" s="265"/>
      <c r="B30" s="266"/>
      <c r="C30" s="266"/>
      <c r="D30" s="266"/>
      <c r="E30" s="270" t="s">
        <v>32</v>
      </c>
      <c r="F30" s="271"/>
      <c r="G30" s="104">
        <v>0.35</v>
      </c>
      <c r="H30" s="65" t="s">
        <v>34</v>
      </c>
      <c r="I30" s="272" t="s">
        <v>36</v>
      </c>
      <c r="J30" s="273"/>
      <c r="K30" s="273"/>
      <c r="L30" s="44" t="s">
        <v>36</v>
      </c>
      <c r="M30" s="49" t="s">
        <v>37</v>
      </c>
      <c r="N30" s="79" t="s">
        <v>39</v>
      </c>
    </row>
    <row r="31" spans="1:14" ht="12.75" customHeight="1">
      <c r="A31" s="254" t="s">
        <v>5</v>
      </c>
      <c r="B31" s="256" t="s">
        <v>6</v>
      </c>
      <c r="C31" s="257"/>
      <c r="D31" s="257"/>
      <c r="E31" s="258">
        <f>F10+(F10*$G$30)</f>
        <v>0</v>
      </c>
      <c r="F31" s="259"/>
      <c r="G31" s="260"/>
      <c r="H31" s="105"/>
      <c r="I31" s="252">
        <f aca="true" t="shared" si="0" ref="I31:I39">E31*H31</f>
        <v>0</v>
      </c>
      <c r="J31" s="252"/>
      <c r="K31" s="253"/>
      <c r="L31" s="48">
        <f>N31*M31*(INT(E31/$N$29)+1)</f>
        <v>0</v>
      </c>
      <c r="M31" s="108"/>
      <c r="N31" s="109"/>
    </row>
    <row r="32" spans="1:14" ht="12.75" customHeight="1">
      <c r="A32" s="254"/>
      <c r="B32" s="245" t="s">
        <v>8</v>
      </c>
      <c r="C32" s="246"/>
      <c r="D32" s="246"/>
      <c r="E32" s="249">
        <f>F11+(F11*$G$30)</f>
        <v>0</v>
      </c>
      <c r="F32" s="250"/>
      <c r="G32" s="251"/>
      <c r="H32" s="106"/>
      <c r="I32" s="205">
        <f t="shared" si="0"/>
        <v>0</v>
      </c>
      <c r="J32" s="205"/>
      <c r="K32" s="206"/>
      <c r="L32" s="46">
        <f aca="true" t="shared" si="1" ref="L32:L39">N32*M32*(INT(E32/$N$29)+1)</f>
        <v>0</v>
      </c>
      <c r="M32" s="110"/>
      <c r="N32" s="111"/>
    </row>
    <row r="33" spans="1:14" ht="12" customHeight="1">
      <c r="A33" s="255"/>
      <c r="B33" s="245" t="s">
        <v>9</v>
      </c>
      <c r="C33" s="246"/>
      <c r="D33" s="246"/>
      <c r="E33" s="249">
        <f>F12+(F12*$G$30)</f>
        <v>0</v>
      </c>
      <c r="F33" s="250"/>
      <c r="G33" s="251"/>
      <c r="H33" s="106"/>
      <c r="I33" s="205">
        <f t="shared" si="0"/>
        <v>0</v>
      </c>
      <c r="J33" s="205"/>
      <c r="K33" s="206"/>
      <c r="L33" s="46">
        <f t="shared" si="1"/>
        <v>0</v>
      </c>
      <c r="M33" s="110"/>
      <c r="N33" s="111"/>
    </row>
    <row r="34" spans="1:14" ht="12" customHeight="1">
      <c r="A34" s="242" t="s">
        <v>10</v>
      </c>
      <c r="B34" s="245" t="s">
        <v>11</v>
      </c>
      <c r="C34" s="246"/>
      <c r="D34" s="246"/>
      <c r="E34" s="249">
        <f>F14+(F14*$G$30)</f>
        <v>0</v>
      </c>
      <c r="F34" s="250"/>
      <c r="G34" s="251"/>
      <c r="H34" s="106"/>
      <c r="I34" s="205">
        <f t="shared" si="0"/>
        <v>0</v>
      </c>
      <c r="J34" s="205"/>
      <c r="K34" s="206"/>
      <c r="L34" s="46">
        <f t="shared" si="1"/>
        <v>0</v>
      </c>
      <c r="M34" s="110"/>
      <c r="N34" s="111"/>
    </row>
    <row r="35" spans="1:14" ht="12" customHeight="1">
      <c r="A35" s="242"/>
      <c r="B35" s="245" t="s">
        <v>12</v>
      </c>
      <c r="C35" s="246"/>
      <c r="D35" s="246"/>
      <c r="E35" s="249">
        <f>F15+(F15*$G$30)</f>
        <v>0</v>
      </c>
      <c r="F35" s="250"/>
      <c r="G35" s="251"/>
      <c r="H35" s="106"/>
      <c r="I35" s="205">
        <f t="shared" si="0"/>
        <v>0</v>
      </c>
      <c r="J35" s="205"/>
      <c r="K35" s="206"/>
      <c r="L35" s="46">
        <f t="shared" si="1"/>
        <v>0</v>
      </c>
      <c r="M35" s="110"/>
      <c r="N35" s="111"/>
    </row>
    <row r="36" spans="1:14" ht="12">
      <c r="A36" s="242"/>
      <c r="B36" s="245" t="s">
        <v>13</v>
      </c>
      <c r="C36" s="246"/>
      <c r="D36" s="246"/>
      <c r="E36" s="249">
        <f>F16+(F16*$G$30)</f>
        <v>0</v>
      </c>
      <c r="F36" s="250"/>
      <c r="G36" s="251"/>
      <c r="H36" s="106"/>
      <c r="I36" s="205">
        <f t="shared" si="0"/>
        <v>0</v>
      </c>
      <c r="J36" s="205"/>
      <c r="K36" s="206"/>
      <c r="L36" s="46">
        <f t="shared" si="1"/>
        <v>0</v>
      </c>
      <c r="M36" s="110"/>
      <c r="N36" s="111"/>
    </row>
    <row r="37" spans="1:14" ht="12">
      <c r="A37" s="242" t="s">
        <v>14</v>
      </c>
      <c r="B37" s="244" t="s">
        <v>15</v>
      </c>
      <c r="C37" s="245" t="s">
        <v>16</v>
      </c>
      <c r="D37" s="246"/>
      <c r="E37" s="249">
        <f>F18+(F18*$G$30)</f>
        <v>0</v>
      </c>
      <c r="F37" s="250"/>
      <c r="G37" s="251"/>
      <c r="H37" s="106"/>
      <c r="I37" s="205">
        <f t="shared" si="0"/>
        <v>0</v>
      </c>
      <c r="J37" s="205"/>
      <c r="K37" s="206"/>
      <c r="L37" s="46">
        <f t="shared" si="1"/>
        <v>0</v>
      </c>
      <c r="M37" s="110"/>
      <c r="N37" s="111"/>
    </row>
    <row r="38" spans="1:14" ht="13.5" customHeight="1">
      <c r="A38" s="242"/>
      <c r="B38" s="244"/>
      <c r="C38" s="245" t="s">
        <v>17</v>
      </c>
      <c r="D38" s="246"/>
      <c r="E38" s="249">
        <f>F19+(F19*$G$30)</f>
        <v>0</v>
      </c>
      <c r="F38" s="250"/>
      <c r="G38" s="251"/>
      <c r="H38" s="106"/>
      <c r="I38" s="205">
        <f t="shared" si="0"/>
        <v>0</v>
      </c>
      <c r="J38" s="205"/>
      <c r="K38" s="206"/>
      <c r="L38" s="46">
        <f t="shared" si="1"/>
        <v>0</v>
      </c>
      <c r="M38" s="110"/>
      <c r="N38" s="111"/>
    </row>
    <row r="39" spans="1:14" ht="13.5" customHeight="1" thickBot="1">
      <c r="A39" s="243"/>
      <c r="B39" s="247" t="s">
        <v>18</v>
      </c>
      <c r="C39" s="248"/>
      <c r="D39" s="248"/>
      <c r="E39" s="237">
        <f>F20+(F20*$G$30)</f>
        <v>0</v>
      </c>
      <c r="F39" s="238"/>
      <c r="G39" s="239"/>
      <c r="H39" s="107"/>
      <c r="I39" s="240">
        <f t="shared" si="0"/>
        <v>0</v>
      </c>
      <c r="J39" s="240"/>
      <c r="K39" s="241"/>
      <c r="L39" s="47">
        <f t="shared" si="1"/>
        <v>0</v>
      </c>
      <c r="M39" s="112"/>
      <c r="N39" s="113"/>
    </row>
    <row r="40" spans="1:14" ht="6" customHeight="1" thickBot="1">
      <c r="A40" s="67"/>
      <c r="B40" s="68"/>
      <c r="C40" s="68"/>
      <c r="D40" s="68"/>
      <c r="E40" s="60"/>
      <c r="F40" s="60"/>
      <c r="G40" s="60"/>
      <c r="H40" s="61"/>
      <c r="I40" s="62"/>
      <c r="J40" s="62"/>
      <c r="K40" s="64"/>
      <c r="L40" s="45"/>
      <c r="M40" s="45"/>
      <c r="N40" s="2"/>
    </row>
    <row r="41" spans="1:14" ht="13.5" customHeight="1" thickBot="1">
      <c r="A41" s="231" t="s">
        <v>38</v>
      </c>
      <c r="B41" s="232"/>
      <c r="C41" s="232"/>
      <c r="D41" s="233"/>
      <c r="E41" s="234">
        <f>H41+L41</f>
        <v>0</v>
      </c>
      <c r="F41" s="235"/>
      <c r="G41" s="236"/>
      <c r="H41" s="202">
        <f>SUM(I31:J39)</f>
        <v>0</v>
      </c>
      <c r="I41" s="203"/>
      <c r="J41" s="203"/>
      <c r="K41" s="204"/>
      <c r="L41" s="202">
        <f>SUM(L31:L39)</f>
        <v>0</v>
      </c>
      <c r="M41" s="203"/>
      <c r="N41" s="204"/>
    </row>
    <row r="42" spans="1:14" ht="6.75" customHeight="1">
      <c r="A42" s="69"/>
      <c r="B42" s="69"/>
      <c r="C42" s="69"/>
      <c r="D42" s="69"/>
      <c r="E42" s="70"/>
      <c r="F42" s="70"/>
      <c r="G42" s="70"/>
      <c r="H42" s="71"/>
      <c r="I42" s="71"/>
      <c r="J42" s="71"/>
      <c r="K42" s="71"/>
      <c r="L42" s="71"/>
      <c r="M42" s="71"/>
      <c r="N42" s="71"/>
    </row>
    <row r="43" ht="6.75" customHeight="1" thickBot="1"/>
    <row r="44" spans="1:14" ht="12" customHeight="1">
      <c r="A44" s="207" t="s">
        <v>129</v>
      </c>
      <c r="B44" s="208"/>
      <c r="C44" s="208"/>
      <c r="D44" s="208"/>
      <c r="E44" s="209"/>
      <c r="F44" s="216" t="s">
        <v>44</v>
      </c>
      <c r="G44" s="217"/>
      <c r="H44" s="217"/>
      <c r="I44" s="217"/>
      <c r="J44" s="136"/>
      <c r="K44" s="137">
        <f>F45*I45</f>
        <v>0</v>
      </c>
      <c r="L44" s="216" t="s">
        <v>130</v>
      </c>
      <c r="M44" s="217"/>
      <c r="N44" s="218"/>
    </row>
    <row r="45" spans="1:14" ht="12.75" customHeight="1">
      <c r="A45" s="210"/>
      <c r="B45" s="211"/>
      <c r="C45" s="211"/>
      <c r="D45" s="211"/>
      <c r="E45" s="212"/>
      <c r="F45" s="219">
        <f>SUM(H10:H20)</f>
        <v>0</v>
      </c>
      <c r="G45" s="220"/>
      <c r="H45" s="223" t="s">
        <v>30</v>
      </c>
      <c r="I45" s="225">
        <v>11</v>
      </c>
      <c r="J45" s="138"/>
      <c r="K45" s="227" t="s">
        <v>35</v>
      </c>
      <c r="L45" s="140" t="str">
        <f>IF(F45=0,"-",IF(K44&lt;150,150,K44))</f>
        <v>-</v>
      </c>
      <c r="M45" s="141"/>
      <c r="N45" s="229" t="s">
        <v>19</v>
      </c>
    </row>
    <row r="46" spans="1:14" ht="13.5" customHeight="1" thickBot="1">
      <c r="A46" s="213"/>
      <c r="B46" s="214"/>
      <c r="C46" s="214"/>
      <c r="D46" s="214"/>
      <c r="E46" s="215"/>
      <c r="F46" s="221"/>
      <c r="G46" s="222"/>
      <c r="H46" s="224"/>
      <c r="I46" s="226"/>
      <c r="J46" s="139"/>
      <c r="K46" s="228"/>
      <c r="L46" s="142"/>
      <c r="M46" s="143"/>
      <c r="N46" s="230"/>
    </row>
    <row r="47" ht="12"/>
    <row r="48" spans="1:18" ht="33.75" customHeight="1">
      <c r="A48" s="120" t="s">
        <v>127</v>
      </c>
      <c r="B48" s="144" t="s">
        <v>128</v>
      </c>
      <c r="C48" s="144"/>
      <c r="D48" s="144"/>
      <c r="E48" s="144"/>
      <c r="F48" s="144"/>
      <c r="G48" s="144"/>
      <c r="H48" s="144"/>
      <c r="I48" s="144"/>
      <c r="J48" s="144"/>
      <c r="K48" s="144"/>
      <c r="L48" s="144"/>
      <c r="M48" s="144"/>
      <c r="N48" s="144"/>
      <c r="O48" s="144"/>
      <c r="P48" s="144"/>
      <c r="Q48" s="144"/>
      <c r="R48" s="144"/>
    </row>
    <row r="49" spans="1:18" ht="33.75" customHeight="1">
      <c r="A49" s="2"/>
      <c r="B49" s="144"/>
      <c r="C49" s="144"/>
      <c r="D49" s="144"/>
      <c r="E49" s="144"/>
      <c r="F49" s="144"/>
      <c r="G49" s="144"/>
      <c r="H49" s="144"/>
      <c r="I49" s="144"/>
      <c r="J49" s="144"/>
      <c r="K49" s="144"/>
      <c r="L49" s="144"/>
      <c r="M49" s="144"/>
      <c r="N49" s="144"/>
      <c r="O49" s="144"/>
      <c r="P49" s="144"/>
      <c r="Q49" s="144"/>
      <c r="R49" s="144"/>
    </row>
    <row r="50" spans="9:16" ht="12.75">
      <c r="I50" s="115"/>
      <c r="J50" s="73"/>
      <c r="K50" s="73"/>
      <c r="L50" s="114"/>
      <c r="M50" s="115"/>
      <c r="N50" s="80"/>
      <c r="O50" s="80"/>
      <c r="P50" s="73"/>
    </row>
    <row r="51" spans="1:16" ht="12.75">
      <c r="A51" s="121" t="s">
        <v>46</v>
      </c>
      <c r="B51" s="121"/>
      <c r="C51" s="122"/>
      <c r="D51" s="123"/>
      <c r="E51" s="123"/>
      <c r="F51" s="124"/>
      <c r="G51" s="125"/>
      <c r="I51" s="115"/>
      <c r="J51" s="73"/>
      <c r="K51" s="73"/>
      <c r="L51" s="114"/>
      <c r="M51" s="115"/>
      <c r="N51" s="80"/>
      <c r="O51" s="80"/>
      <c r="P51" s="73"/>
    </row>
    <row r="52" spans="1:16" ht="12.75">
      <c r="A52" s="124" t="s">
        <v>50</v>
      </c>
      <c r="B52" s="125" t="s">
        <v>51</v>
      </c>
      <c r="C52" s="123"/>
      <c r="D52" s="123"/>
      <c r="E52" s="123"/>
      <c r="F52" s="124"/>
      <c r="G52" s="125"/>
      <c r="I52" s="115"/>
      <c r="J52" s="73"/>
      <c r="K52" s="73"/>
      <c r="L52" s="114"/>
      <c r="M52" s="115"/>
      <c r="N52" s="80"/>
      <c r="O52" s="80"/>
      <c r="P52" s="73"/>
    </row>
    <row r="53" spans="1:16" ht="12.75">
      <c r="A53" s="124" t="s">
        <v>52</v>
      </c>
      <c r="B53" s="125" t="s">
        <v>53</v>
      </c>
      <c r="C53" s="123"/>
      <c r="D53" s="123"/>
      <c r="E53" s="123"/>
      <c r="F53" s="124"/>
      <c r="G53" s="125"/>
      <c r="I53" s="115"/>
      <c r="J53" s="73"/>
      <c r="K53" s="73"/>
      <c r="L53" s="114"/>
      <c r="M53" s="115"/>
      <c r="N53" s="80"/>
      <c r="O53" s="80"/>
      <c r="P53" s="73"/>
    </row>
    <row r="54" spans="1:16" ht="12.75">
      <c r="A54" s="124" t="s">
        <v>54</v>
      </c>
      <c r="B54" s="125" t="s">
        <v>55</v>
      </c>
      <c r="C54" s="123"/>
      <c r="D54" s="123"/>
      <c r="E54" s="123"/>
      <c r="F54" s="124"/>
      <c r="G54" s="125"/>
      <c r="I54" s="115"/>
      <c r="J54" s="73"/>
      <c r="K54" s="73"/>
      <c r="L54" s="114"/>
      <c r="M54" s="115"/>
      <c r="N54" s="80"/>
      <c r="O54" s="80"/>
      <c r="P54" s="73"/>
    </row>
    <row r="55" spans="1:16" ht="12.75">
      <c r="A55" s="125"/>
      <c r="B55" s="125"/>
      <c r="C55" s="123"/>
      <c r="D55" s="123"/>
      <c r="E55" s="123"/>
      <c r="F55" s="124"/>
      <c r="G55" s="125"/>
      <c r="I55" s="115"/>
      <c r="J55" s="73"/>
      <c r="K55" s="73"/>
      <c r="L55" s="114"/>
      <c r="M55" s="115"/>
      <c r="N55" s="80"/>
      <c r="O55" s="80"/>
      <c r="P55" s="73"/>
    </row>
    <row r="56" spans="1:16" ht="12.75">
      <c r="A56" s="121" t="s">
        <v>56</v>
      </c>
      <c r="B56" s="121"/>
      <c r="C56" s="123"/>
      <c r="D56" s="123"/>
      <c r="E56" s="123"/>
      <c r="F56" s="126"/>
      <c r="G56" s="127" t="s">
        <v>57</v>
      </c>
      <c r="I56" s="115"/>
      <c r="J56" s="73"/>
      <c r="K56" s="73"/>
      <c r="L56" s="114"/>
      <c r="M56" s="115"/>
      <c r="N56" s="80"/>
      <c r="O56" s="80"/>
      <c r="P56" s="73"/>
    </row>
    <row r="57" spans="1:16" ht="12.75">
      <c r="A57" s="126" t="s">
        <v>58</v>
      </c>
      <c r="B57" s="125" t="s">
        <v>59</v>
      </c>
      <c r="C57" s="123"/>
      <c r="D57" s="123"/>
      <c r="E57" s="123"/>
      <c r="F57" s="124" t="s">
        <v>60</v>
      </c>
      <c r="G57" s="125" t="s">
        <v>61</v>
      </c>
      <c r="I57" s="115"/>
      <c r="J57" s="73"/>
      <c r="K57" s="73"/>
      <c r="L57" s="114"/>
      <c r="M57" s="115"/>
      <c r="N57" s="80"/>
      <c r="O57" s="80"/>
      <c r="P57" s="73"/>
    </row>
    <row r="58" spans="1:16" ht="12.75">
      <c r="A58" s="126" t="s">
        <v>62</v>
      </c>
      <c r="B58" s="125" t="s">
        <v>63</v>
      </c>
      <c r="C58" s="123"/>
      <c r="D58" s="123"/>
      <c r="E58" s="123"/>
      <c r="F58" s="124" t="s">
        <v>64</v>
      </c>
      <c r="G58" s="125" t="s">
        <v>65</v>
      </c>
      <c r="I58" s="115"/>
      <c r="J58" s="73"/>
      <c r="K58" s="73"/>
      <c r="L58" s="114"/>
      <c r="M58" s="115"/>
      <c r="N58" s="80"/>
      <c r="O58" s="80"/>
      <c r="P58" s="73"/>
    </row>
    <row r="59" spans="1:16" ht="12.75">
      <c r="A59" s="126" t="s">
        <v>66</v>
      </c>
      <c r="B59" s="125" t="s">
        <v>67</v>
      </c>
      <c r="C59" s="123"/>
      <c r="D59" s="123"/>
      <c r="E59" s="123"/>
      <c r="F59" s="124" t="s">
        <v>68</v>
      </c>
      <c r="G59" s="125" t="s">
        <v>69</v>
      </c>
      <c r="I59" s="115"/>
      <c r="J59" s="73"/>
      <c r="K59" s="73"/>
      <c r="L59" s="114"/>
      <c r="M59" s="115"/>
      <c r="N59" s="80"/>
      <c r="O59" s="80"/>
      <c r="P59" s="73"/>
    </row>
    <row r="60" spans="1:16" ht="12.75">
      <c r="A60" s="126" t="s">
        <v>70</v>
      </c>
      <c r="B60" s="125" t="s">
        <v>71</v>
      </c>
      <c r="C60" s="123"/>
      <c r="D60" s="123"/>
      <c r="E60" s="123"/>
      <c r="F60" s="124"/>
      <c r="G60" s="125" t="s">
        <v>72</v>
      </c>
      <c r="I60" s="115"/>
      <c r="J60" s="73"/>
      <c r="K60" s="73"/>
      <c r="L60" s="114"/>
      <c r="M60" s="115"/>
      <c r="N60" s="80"/>
      <c r="O60" s="80"/>
      <c r="P60" s="73"/>
    </row>
    <row r="61" spans="1:16" ht="12.75">
      <c r="A61" s="126" t="s">
        <v>73</v>
      </c>
      <c r="B61" s="125" t="s">
        <v>74</v>
      </c>
      <c r="C61" s="123"/>
      <c r="D61" s="123"/>
      <c r="E61" s="123"/>
      <c r="F61" s="124" t="s">
        <v>75</v>
      </c>
      <c r="G61" s="125" t="s">
        <v>76</v>
      </c>
      <c r="I61" s="115"/>
      <c r="J61" s="73"/>
      <c r="K61" s="73"/>
      <c r="L61" s="114"/>
      <c r="M61" s="115"/>
      <c r="N61" s="80"/>
      <c r="O61" s="80"/>
      <c r="P61" s="73"/>
    </row>
    <row r="62" spans="1:16" ht="12.75">
      <c r="A62" s="126" t="s">
        <v>77</v>
      </c>
      <c r="B62" s="125" t="s">
        <v>78</v>
      </c>
      <c r="C62" s="123"/>
      <c r="D62" s="123"/>
      <c r="E62" s="123"/>
      <c r="F62" s="124" t="s">
        <v>79</v>
      </c>
      <c r="G62" s="125" t="s">
        <v>80</v>
      </c>
      <c r="I62" s="115"/>
      <c r="J62" s="73"/>
      <c r="K62" s="73"/>
      <c r="L62" s="114"/>
      <c r="M62" s="115"/>
      <c r="N62" s="80"/>
      <c r="O62" s="80"/>
      <c r="P62" s="73"/>
    </row>
    <row r="63" spans="1:16" ht="12.75">
      <c r="A63" s="126" t="s">
        <v>81</v>
      </c>
      <c r="B63" s="125" t="s">
        <v>82</v>
      </c>
      <c r="C63" s="123"/>
      <c r="D63" s="123"/>
      <c r="E63" s="123"/>
      <c r="F63" s="124" t="s">
        <v>83</v>
      </c>
      <c r="G63" s="125" t="s">
        <v>84</v>
      </c>
      <c r="I63" s="115"/>
      <c r="J63" s="73"/>
      <c r="K63" s="73"/>
      <c r="M63" s="145"/>
      <c r="N63" s="145"/>
      <c r="O63" s="80"/>
      <c r="P63" s="73"/>
    </row>
    <row r="64" spans="1:16" ht="12.75">
      <c r="A64" s="126" t="s">
        <v>85</v>
      </c>
      <c r="B64" s="125" t="s">
        <v>86</v>
      </c>
      <c r="C64" s="123"/>
      <c r="D64" s="123"/>
      <c r="E64" s="123"/>
      <c r="F64" s="124" t="s">
        <v>87</v>
      </c>
      <c r="G64" s="125" t="s">
        <v>88</v>
      </c>
      <c r="I64" s="115"/>
      <c r="J64" s="73"/>
      <c r="K64" s="73"/>
      <c r="L64" s="114"/>
      <c r="M64" s="115"/>
      <c r="N64" s="80"/>
      <c r="O64" s="80"/>
      <c r="P64" s="73"/>
    </row>
    <row r="65" spans="1:16" ht="12.75">
      <c r="A65" s="126" t="s">
        <v>89</v>
      </c>
      <c r="B65" s="125" t="s">
        <v>90</v>
      </c>
      <c r="C65" s="123"/>
      <c r="D65" s="123"/>
      <c r="E65" s="123"/>
      <c r="F65" s="124" t="s">
        <v>91</v>
      </c>
      <c r="G65" s="125" t="s">
        <v>92</v>
      </c>
      <c r="I65" s="115"/>
      <c r="J65" s="73"/>
      <c r="K65" s="73"/>
      <c r="L65" s="114"/>
      <c r="M65" s="115"/>
      <c r="N65" s="80"/>
      <c r="O65" s="80"/>
      <c r="P65" s="73"/>
    </row>
    <row r="66" spans="1:16" ht="12.75">
      <c r="A66" s="126" t="s">
        <v>93</v>
      </c>
      <c r="B66" s="125" t="s">
        <v>94</v>
      </c>
      <c r="C66" s="123"/>
      <c r="D66" s="123"/>
      <c r="E66" s="123"/>
      <c r="F66" s="124" t="s">
        <v>95</v>
      </c>
      <c r="G66" s="125" t="s">
        <v>96</v>
      </c>
      <c r="I66" s="115"/>
      <c r="J66" s="73"/>
      <c r="K66" s="73"/>
      <c r="L66" s="114"/>
      <c r="M66" s="115"/>
      <c r="N66" s="80"/>
      <c r="O66" s="80"/>
      <c r="P66" s="73"/>
    </row>
    <row r="67" spans="1:16" ht="12.75">
      <c r="A67" s="126" t="s">
        <v>97</v>
      </c>
      <c r="B67" s="125" t="s">
        <v>98</v>
      </c>
      <c r="C67" s="123"/>
      <c r="D67" s="123"/>
      <c r="E67" s="123"/>
      <c r="F67" s="124" t="s">
        <v>99</v>
      </c>
      <c r="G67" s="125" t="s">
        <v>100</v>
      </c>
      <c r="I67" s="115"/>
      <c r="J67" s="73"/>
      <c r="K67" s="73"/>
      <c r="L67" s="114"/>
      <c r="M67" s="115"/>
      <c r="N67" s="80"/>
      <c r="O67" s="80"/>
      <c r="P67" s="73"/>
    </row>
    <row r="68" spans="1:16" ht="12.75">
      <c r="A68" s="126" t="s">
        <v>101</v>
      </c>
      <c r="B68" s="125" t="s">
        <v>102</v>
      </c>
      <c r="C68" s="123"/>
      <c r="D68" s="123"/>
      <c r="E68" s="123"/>
      <c r="F68" s="124" t="s">
        <v>103</v>
      </c>
      <c r="G68" s="125" t="s">
        <v>104</v>
      </c>
      <c r="I68" s="115"/>
      <c r="J68" s="73"/>
      <c r="K68" s="73"/>
      <c r="L68" s="114"/>
      <c r="M68" s="115"/>
      <c r="N68" s="80"/>
      <c r="O68" s="80"/>
      <c r="P68" s="73"/>
    </row>
    <row r="69" spans="1:16" ht="12.75">
      <c r="A69" s="126" t="s">
        <v>105</v>
      </c>
      <c r="B69" s="125" t="s">
        <v>106</v>
      </c>
      <c r="C69" s="123"/>
      <c r="D69" s="123"/>
      <c r="E69" s="123"/>
      <c r="F69" s="124" t="s">
        <v>107</v>
      </c>
      <c r="G69" s="125" t="s">
        <v>108</v>
      </c>
      <c r="I69" s="115"/>
      <c r="J69" s="73"/>
      <c r="K69" s="73"/>
      <c r="L69" s="114"/>
      <c r="M69" s="115"/>
      <c r="N69" s="80"/>
      <c r="O69" s="80"/>
      <c r="P69" s="73"/>
    </row>
    <row r="70" spans="1:16" ht="12.75">
      <c r="A70" s="126" t="s">
        <v>109</v>
      </c>
      <c r="B70" s="125" t="s">
        <v>110</v>
      </c>
      <c r="C70" s="123"/>
      <c r="D70" s="123"/>
      <c r="E70" s="123"/>
      <c r="F70" s="124"/>
      <c r="G70" s="125" t="s">
        <v>111</v>
      </c>
      <c r="I70" s="115"/>
      <c r="J70" s="73"/>
      <c r="K70" s="73"/>
      <c r="L70" s="114"/>
      <c r="M70" s="115"/>
      <c r="N70" s="80"/>
      <c r="O70" s="80"/>
      <c r="P70" s="73"/>
    </row>
    <row r="71" spans="1:16" ht="12.75">
      <c r="A71" s="126" t="s">
        <v>112</v>
      </c>
      <c r="B71" s="125" t="s">
        <v>113</v>
      </c>
      <c r="C71" s="123"/>
      <c r="D71" s="123"/>
      <c r="E71" s="123"/>
      <c r="F71" s="124"/>
      <c r="G71" s="125" t="s">
        <v>114</v>
      </c>
      <c r="I71" s="115"/>
      <c r="J71" s="73"/>
      <c r="K71" s="73"/>
      <c r="L71" s="115"/>
      <c r="M71" s="115"/>
      <c r="N71" s="80"/>
      <c r="O71" s="80"/>
      <c r="P71" s="73"/>
    </row>
    <row r="72" spans="1:18" ht="12.75">
      <c r="A72" s="121"/>
      <c r="B72" s="125"/>
      <c r="C72" s="123"/>
      <c r="D72" s="123"/>
      <c r="E72" s="123"/>
      <c r="F72" s="124"/>
      <c r="G72" s="125" t="s">
        <v>115</v>
      </c>
      <c r="I72" s="115"/>
      <c r="J72" s="73"/>
      <c r="K72" s="73"/>
      <c r="L72" s="73"/>
      <c r="M72" s="80"/>
      <c r="N72" s="80"/>
      <c r="O72" s="80"/>
      <c r="P72" s="80"/>
      <c r="Q72" s="80"/>
      <c r="R72" s="73"/>
    </row>
    <row r="73" spans="1:18" ht="12.75">
      <c r="A73" s="124"/>
      <c r="B73" s="125"/>
      <c r="C73" s="123"/>
      <c r="D73" s="123"/>
      <c r="E73" s="123"/>
      <c r="F73" s="124" t="s">
        <v>116</v>
      </c>
      <c r="G73" s="125" t="s">
        <v>117</v>
      </c>
      <c r="I73" s="115"/>
      <c r="J73" s="73"/>
      <c r="K73" s="73"/>
      <c r="L73" s="73"/>
      <c r="M73" s="80"/>
      <c r="N73" s="80"/>
      <c r="O73" s="80"/>
      <c r="P73" s="80"/>
      <c r="Q73" s="80"/>
      <c r="R73" s="73"/>
    </row>
    <row r="74" spans="1:18" ht="12.75">
      <c r="A74" s="124"/>
      <c r="B74" s="125"/>
      <c r="C74" s="123"/>
      <c r="D74" s="123"/>
      <c r="E74" s="123"/>
      <c r="F74" s="124"/>
      <c r="G74" s="125" t="s">
        <v>118</v>
      </c>
      <c r="I74" s="115"/>
      <c r="J74" s="73"/>
      <c r="K74" s="73"/>
      <c r="L74" s="73"/>
      <c r="M74" s="80"/>
      <c r="N74" s="80"/>
      <c r="O74" s="80"/>
      <c r="P74" s="80"/>
      <c r="Q74" s="80"/>
      <c r="R74" s="73"/>
    </row>
    <row r="75" spans="1:7" ht="12">
      <c r="A75" s="124"/>
      <c r="B75" s="125"/>
      <c r="C75" s="123"/>
      <c r="D75" s="123"/>
      <c r="E75" s="123"/>
      <c r="F75" s="124" t="s">
        <v>119</v>
      </c>
      <c r="G75" s="125" t="s">
        <v>120</v>
      </c>
    </row>
    <row r="76" spans="1:7" ht="12">
      <c r="A76" s="123"/>
      <c r="B76" s="123"/>
      <c r="C76" s="123"/>
      <c r="D76" s="123"/>
      <c r="E76" s="123"/>
      <c r="F76" s="128" t="s">
        <v>121</v>
      </c>
      <c r="G76" s="123" t="s">
        <v>122</v>
      </c>
    </row>
    <row r="77" ht="12"/>
    <row r="78" ht="12"/>
  </sheetData>
  <sheetProtection password="EFA6" sheet="1" selectLockedCells="1"/>
  <mergeCells count="85">
    <mergeCell ref="B15:C15"/>
    <mergeCell ref="B16:C16"/>
    <mergeCell ref="A29:D30"/>
    <mergeCell ref="E29:F29"/>
    <mergeCell ref="H29:K29"/>
    <mergeCell ref="E30:F30"/>
    <mergeCell ref="I30:K30"/>
    <mergeCell ref="A14:A16"/>
    <mergeCell ref="A28:N28"/>
    <mergeCell ref="I31:K31"/>
    <mergeCell ref="A31:A33"/>
    <mergeCell ref="B31:D31"/>
    <mergeCell ref="E31:G31"/>
    <mergeCell ref="B20:C20"/>
    <mergeCell ref="B32:D32"/>
    <mergeCell ref="E32:G32"/>
    <mergeCell ref="B25:Q26"/>
    <mergeCell ref="I32:K32"/>
    <mergeCell ref="B33:D33"/>
    <mergeCell ref="A34:A36"/>
    <mergeCell ref="B35:D35"/>
    <mergeCell ref="B36:D36"/>
    <mergeCell ref="E34:G34"/>
    <mergeCell ref="E35:G35"/>
    <mergeCell ref="E36:G36"/>
    <mergeCell ref="I34:K34"/>
    <mergeCell ref="I35:K35"/>
    <mergeCell ref="I37:K37"/>
    <mergeCell ref="B34:D34"/>
    <mergeCell ref="E33:G33"/>
    <mergeCell ref="I33:K33"/>
    <mergeCell ref="E39:G39"/>
    <mergeCell ref="I39:K39"/>
    <mergeCell ref="A37:A39"/>
    <mergeCell ref="B37:B38"/>
    <mergeCell ref="C37:D37"/>
    <mergeCell ref="C38:D38"/>
    <mergeCell ref="B39:D39"/>
    <mergeCell ref="E37:G37"/>
    <mergeCell ref="E38:G38"/>
    <mergeCell ref="I38:K38"/>
    <mergeCell ref="A44:E46"/>
    <mergeCell ref="F44:I44"/>
    <mergeCell ref="L44:N44"/>
    <mergeCell ref="F45:G46"/>
    <mergeCell ref="H45:H46"/>
    <mergeCell ref="I45:I46"/>
    <mergeCell ref="K45:K46"/>
    <mergeCell ref="N45:N46"/>
    <mergeCell ref="L29:M29"/>
    <mergeCell ref="A18:A20"/>
    <mergeCell ref="B18:B19"/>
    <mergeCell ref="B23:Q24"/>
    <mergeCell ref="B14:C14"/>
    <mergeCell ref="H41:K41"/>
    <mergeCell ref="I36:K36"/>
    <mergeCell ref="A41:D41"/>
    <mergeCell ref="E41:G41"/>
    <mergeCell ref="L41:N41"/>
    <mergeCell ref="M7:M8"/>
    <mergeCell ref="A10:A12"/>
    <mergeCell ref="B10:C10"/>
    <mergeCell ref="B11:C11"/>
    <mergeCell ref="B12:C12"/>
    <mergeCell ref="N7:N8"/>
    <mergeCell ref="A6:C8"/>
    <mergeCell ref="D6:E7"/>
    <mergeCell ref="L7:L8"/>
    <mergeCell ref="Q4:R4"/>
    <mergeCell ref="F6:I6"/>
    <mergeCell ref="F7:F8"/>
    <mergeCell ref="G7:G8"/>
    <mergeCell ref="H7:H8"/>
    <mergeCell ref="K7:K8"/>
    <mergeCell ref="K6:N6"/>
    <mergeCell ref="L45:M46"/>
    <mergeCell ref="B48:R49"/>
    <mergeCell ref="M63:N63"/>
    <mergeCell ref="F2:G2"/>
    <mergeCell ref="G3:I3"/>
    <mergeCell ref="J3:L3"/>
    <mergeCell ref="F4:H4"/>
    <mergeCell ref="H2:N2"/>
    <mergeCell ref="M3:N3"/>
    <mergeCell ref="I4:N4"/>
  </mergeCells>
  <printOptions/>
  <pageMargins left="0.3937007874015748" right="0.3937007874015748" top="0.5905511811023623" bottom="0.3937007874015748" header="0" footer="0"/>
  <pageSetup horizontalDpi="600" verticalDpi="600" orientation="portrait" paperSize="9" scale="67" r:id="rId2"/>
  <headerFooter alignWithMargins="0">
    <oddFooter>&amp;R&amp;F
&amp;P de &amp;N</oddFooter>
  </headerFooter>
  <drawing r:id="rId1"/>
</worksheet>
</file>

<file path=xl/worksheets/sheet2.xml><?xml version="1.0" encoding="utf-8"?>
<worksheet xmlns="http://schemas.openxmlformats.org/spreadsheetml/2006/main" xmlns:r="http://schemas.openxmlformats.org/officeDocument/2006/relationships">
  <dimension ref="A2:N61"/>
  <sheetViews>
    <sheetView zoomScalePageLayoutView="0" workbookViewId="0" topLeftCell="A1">
      <selection activeCell="F51" sqref="F51"/>
    </sheetView>
  </sheetViews>
  <sheetFormatPr defaultColWidth="11.421875" defaultRowHeight="12.75"/>
  <cols>
    <col min="2" max="2" width="18.8515625" style="75" customWidth="1"/>
    <col min="3" max="3" width="18.00390625" style="94" customWidth="1"/>
    <col min="4" max="4" width="15.00390625" style="76" customWidth="1"/>
    <col min="5" max="5" width="10.8515625" style="76" customWidth="1"/>
    <col min="6" max="6" width="2.57421875" style="0" customWidth="1"/>
    <col min="7" max="7" width="15.00390625" style="74" customWidth="1"/>
    <col min="11" max="11" width="11.421875" style="77" customWidth="1"/>
  </cols>
  <sheetData>
    <row r="2" ht="12.75">
      <c r="B2" s="75">
        <v>1</v>
      </c>
    </row>
    <row r="3" ht="13.5" thickBot="1"/>
    <row r="4" spans="1:14" ht="12.75">
      <c r="A4">
        <v>0.0365</v>
      </c>
      <c r="B4" s="81">
        <f>$B$2*0.062</f>
        <v>0.062</v>
      </c>
      <c r="C4" s="95">
        <f>$B$2*84/1000</f>
        <v>0.084</v>
      </c>
      <c r="D4" s="82">
        <f>B4/A4</f>
        <v>1.6986301369863015</v>
      </c>
      <c r="E4" s="82">
        <f>(D4+D15)/2</f>
        <v>1.6993150684931506</v>
      </c>
      <c r="G4" s="74">
        <f>C4/B4</f>
        <v>1.3548387096774195</v>
      </c>
      <c r="H4" s="74">
        <f>B4/A4</f>
        <v>1.6986301369863015</v>
      </c>
      <c r="I4">
        <f>(G4+G15+G26)/3</f>
        <v>1.3537640549486314</v>
      </c>
      <c r="J4">
        <f>(H4+H15+H26)/3</f>
        <v>1.6995433789954337</v>
      </c>
      <c r="K4" s="77">
        <f>I4-G4</f>
        <v>-0.0010746547287880936</v>
      </c>
      <c r="M4">
        <f>(G4+G15)/2</f>
        <v>1.3541754941876532</v>
      </c>
      <c r="N4" s="77">
        <f>M4-G4</f>
        <v>-0.0006632154897663334</v>
      </c>
    </row>
    <row r="5" spans="1:14" ht="12.75">
      <c r="A5">
        <v>0.301</v>
      </c>
      <c r="B5" s="83">
        <f>$B$2*0.512</f>
        <v>0.512</v>
      </c>
      <c r="C5" s="96">
        <f>$B$2*542/1000</f>
        <v>0.542</v>
      </c>
      <c r="D5" s="82">
        <f aca="true" t="shared" si="0" ref="D5:D11">B5/A5</f>
        <v>1.7009966777408638</v>
      </c>
      <c r="E5" s="82"/>
      <c r="G5" s="74">
        <f aca="true" t="shared" si="1" ref="G5:G11">C5/B5</f>
        <v>1.05859375</v>
      </c>
      <c r="H5" s="74">
        <f aca="true" t="shared" si="2" ref="H5:H11">B5/A5</f>
        <v>1.7009966777408638</v>
      </c>
      <c r="I5">
        <f aca="true" t="shared" si="3" ref="I5:J11">(G5+G16+G27)/3</f>
        <v>0.7557512935729848</v>
      </c>
      <c r="J5">
        <f t="shared" si="3"/>
        <v>1.6741783797597751</v>
      </c>
      <c r="K5" s="77">
        <f aca="true" t="shared" si="4" ref="K5:K11">I5-G5</f>
        <v>-0.30284245642701524</v>
      </c>
      <c r="M5">
        <f aca="true" t="shared" si="5" ref="M5:M11">(G5+G16)/2</f>
        <v>0.9711269403594771</v>
      </c>
      <c r="N5" s="77">
        <f aca="true" t="shared" si="6" ref="N5:N11">M5-G5</f>
        <v>-0.08746680964052289</v>
      </c>
    </row>
    <row r="6" spans="1:14" ht="12.75">
      <c r="A6">
        <v>0.0046</v>
      </c>
      <c r="B6" s="83">
        <f>$B$2*0.008</f>
        <v>0.008</v>
      </c>
      <c r="C6" s="96">
        <f>$B$2*4/1000</f>
        <v>0.004</v>
      </c>
      <c r="D6" s="82">
        <f t="shared" si="0"/>
        <v>1.7391304347826089</v>
      </c>
      <c r="E6" s="82"/>
      <c r="G6" s="74">
        <f t="shared" si="1"/>
        <v>0.5</v>
      </c>
      <c r="H6" s="74">
        <f t="shared" si="2"/>
        <v>1.7391304347826089</v>
      </c>
      <c r="I6">
        <f t="shared" si="3"/>
        <v>2.3666666666666667</v>
      </c>
      <c r="J6">
        <f t="shared" si="3"/>
        <v>1.7022760097614424</v>
      </c>
      <c r="K6" s="77">
        <f t="shared" si="4"/>
        <v>1.8666666666666667</v>
      </c>
      <c r="M6">
        <f t="shared" si="5"/>
        <v>0.55</v>
      </c>
      <c r="N6" s="77">
        <f t="shared" si="6"/>
        <v>0.050000000000000044</v>
      </c>
    </row>
    <row r="7" spans="1:14" ht="12.75">
      <c r="A7">
        <v>0.048</v>
      </c>
      <c r="B7" s="83">
        <f>$B$2*0.082</f>
        <v>0.082</v>
      </c>
      <c r="C7" s="96">
        <f>$B$2*52/1000</f>
        <v>0.052</v>
      </c>
      <c r="D7" s="82">
        <f t="shared" si="0"/>
        <v>1.7083333333333333</v>
      </c>
      <c r="E7" s="82"/>
      <c r="G7" s="74">
        <f t="shared" si="1"/>
        <v>0.6341463414634145</v>
      </c>
      <c r="H7" s="74">
        <f t="shared" si="2"/>
        <v>1.7083333333333333</v>
      </c>
      <c r="I7">
        <f t="shared" si="3"/>
        <v>1.191209203158314</v>
      </c>
      <c r="J7">
        <f t="shared" si="3"/>
        <v>1.7034313725490196</v>
      </c>
      <c r="K7" s="77">
        <f t="shared" si="4"/>
        <v>0.5570628616948994</v>
      </c>
      <c r="M7">
        <f t="shared" si="5"/>
        <v>1.051943487734589</v>
      </c>
      <c r="N7" s="77">
        <f t="shared" si="6"/>
        <v>0.4177971462711745</v>
      </c>
    </row>
    <row r="8" spans="1:14" ht="12.75">
      <c r="A8">
        <v>0.0005</v>
      </c>
      <c r="B8" s="83">
        <f>$B$2*0.0009</f>
        <v>0.0009</v>
      </c>
      <c r="C8" s="96">
        <f>$B$2*4/1000</f>
        <v>0.004</v>
      </c>
      <c r="D8" s="82">
        <f t="shared" si="0"/>
        <v>1.7999999999999998</v>
      </c>
      <c r="E8" s="82"/>
      <c r="G8" s="74">
        <f t="shared" si="1"/>
        <v>4.444444444444445</v>
      </c>
      <c r="H8" s="74">
        <f t="shared" si="2"/>
        <v>1.7999999999999998</v>
      </c>
      <c r="I8">
        <f t="shared" si="3"/>
        <v>4.492374727668845</v>
      </c>
      <c r="J8">
        <f t="shared" si="3"/>
        <v>1.7380952380952381</v>
      </c>
      <c r="K8" s="77">
        <f t="shared" si="4"/>
        <v>0.047930283224400405</v>
      </c>
      <c r="M8">
        <f t="shared" si="5"/>
        <v>4.444444444444445</v>
      </c>
      <c r="N8" s="77">
        <f t="shared" si="6"/>
        <v>0</v>
      </c>
    </row>
    <row r="9" spans="1:14" ht="12.75">
      <c r="A9">
        <v>0.039</v>
      </c>
      <c r="B9" s="83">
        <f>$B$2*0.0663</f>
        <v>0.0663</v>
      </c>
      <c r="C9" s="96">
        <f>$B$2*23/1000</f>
        <v>0.023</v>
      </c>
      <c r="D9" s="82">
        <f t="shared" si="0"/>
        <v>1.7</v>
      </c>
      <c r="E9" s="82"/>
      <c r="G9" s="74">
        <f t="shared" si="1"/>
        <v>0.3469079939668175</v>
      </c>
      <c r="H9" s="74">
        <f t="shared" si="2"/>
        <v>1.7</v>
      </c>
      <c r="I9">
        <f t="shared" si="3"/>
        <v>0.355250992923083</v>
      </c>
      <c r="J9">
        <f t="shared" si="3"/>
        <v>1.6911027568922306</v>
      </c>
      <c r="K9" s="77">
        <f t="shared" si="4"/>
        <v>0.008342998956265502</v>
      </c>
      <c r="M9">
        <f t="shared" si="5"/>
        <v>0.35430506081319596</v>
      </c>
      <c r="N9" s="77">
        <f t="shared" si="6"/>
        <v>0.007397066846378475</v>
      </c>
    </row>
    <row r="10" spans="1:14" ht="12.75">
      <c r="A10">
        <v>0.0002</v>
      </c>
      <c r="B10" s="83">
        <f>$B$2*0.0004</f>
        <v>0.0004</v>
      </c>
      <c r="C10" s="96">
        <f>$B$2*0.6/1000</f>
        <v>0.0006</v>
      </c>
      <c r="D10" s="82">
        <f t="shared" si="0"/>
        <v>2</v>
      </c>
      <c r="E10" s="82"/>
      <c r="G10" s="74">
        <f t="shared" si="1"/>
        <v>1.4999999999999998</v>
      </c>
      <c r="H10" s="74">
        <f t="shared" si="2"/>
        <v>2</v>
      </c>
      <c r="I10">
        <f t="shared" si="3"/>
        <v>1.5666666666666664</v>
      </c>
      <c r="J10">
        <f t="shared" si="3"/>
        <v>1.638888888888889</v>
      </c>
      <c r="K10" s="77">
        <f t="shared" si="4"/>
        <v>0.06666666666666665</v>
      </c>
      <c r="M10">
        <f t="shared" si="5"/>
        <v>1.5499999999999998</v>
      </c>
      <c r="N10" s="77">
        <f t="shared" si="6"/>
        <v>0.050000000000000044</v>
      </c>
    </row>
    <row r="11" spans="1:14" ht="13.5" thickBot="1">
      <c r="A11">
        <v>0.0002</v>
      </c>
      <c r="B11" s="84">
        <f>$B$2*0.0004</f>
        <v>0.0004</v>
      </c>
      <c r="C11" s="97">
        <f>$B$2*0.4/1000</f>
        <v>0.0004</v>
      </c>
      <c r="D11" s="82">
        <f t="shared" si="0"/>
        <v>2</v>
      </c>
      <c r="E11" s="82"/>
      <c r="G11" s="74">
        <f t="shared" si="1"/>
        <v>1</v>
      </c>
      <c r="H11" s="74">
        <f t="shared" si="2"/>
        <v>2</v>
      </c>
      <c r="I11">
        <f t="shared" si="3"/>
        <v>1.0476190476190477</v>
      </c>
      <c r="J11">
        <f t="shared" si="3"/>
        <v>1.9166666666666667</v>
      </c>
      <c r="K11" s="77">
        <f t="shared" si="4"/>
        <v>0.04761904761904767</v>
      </c>
      <c r="M11">
        <f t="shared" si="5"/>
        <v>1.0714285714285716</v>
      </c>
      <c r="N11" s="77">
        <f t="shared" si="6"/>
        <v>0.07142857142857162</v>
      </c>
    </row>
    <row r="12" ht="15" customHeight="1"/>
    <row r="14" ht="13.5" thickBot="1"/>
    <row r="15" spans="1:14" ht="12.75">
      <c r="A15">
        <v>0.309</v>
      </c>
      <c r="B15" s="81">
        <f>$B$2*0.5253</f>
        <v>0.5253</v>
      </c>
      <c r="C15" s="95">
        <f>$B$2*711/1000</f>
        <v>0.711</v>
      </c>
      <c r="D15" s="82">
        <f>B15/A15</f>
        <v>1.7</v>
      </c>
      <c r="E15" s="82"/>
      <c r="G15" s="74">
        <f aca="true" t="shared" si="7" ref="G15:G22">C15/B15</f>
        <v>1.3535122786978868</v>
      </c>
      <c r="H15" s="74">
        <f>B15/A15</f>
        <v>1.7</v>
      </c>
      <c r="K15" s="77">
        <f>I4-G15</f>
        <v>0.0002517762507445731</v>
      </c>
      <c r="N15" s="77">
        <f>M4-G15</f>
        <v>0.0006632154897663334</v>
      </c>
    </row>
    <row r="16" spans="1:14" ht="12.75">
      <c r="A16">
        <v>0.225</v>
      </c>
      <c r="B16" s="83">
        <f>$B$2*0.3825</f>
        <v>0.3825</v>
      </c>
      <c r="C16" s="96">
        <f>$B$2*338/1000</f>
        <v>0.338</v>
      </c>
      <c r="D16" s="82">
        <f aca="true" t="shared" si="8" ref="D16:D22">B16/A16</f>
        <v>1.7</v>
      </c>
      <c r="E16" s="82"/>
      <c r="G16" s="74">
        <f t="shared" si="7"/>
        <v>0.8836601307189543</v>
      </c>
      <c r="H16" s="74">
        <f aca="true" t="shared" si="9" ref="H16:H22">B16/A16</f>
        <v>1.7</v>
      </c>
      <c r="K16" s="77">
        <f aca="true" t="shared" si="10" ref="K16:K22">I5-G16</f>
        <v>-0.12790883714596957</v>
      </c>
      <c r="N16" s="77">
        <f aca="true" t="shared" si="11" ref="N16:N22">M5-G16</f>
        <v>0.08746680964052278</v>
      </c>
    </row>
    <row r="17" spans="1:14" ht="12.75">
      <c r="A17">
        <v>0.0097</v>
      </c>
      <c r="B17" s="83">
        <f>$B$2*0.0165</f>
        <v>0.0165</v>
      </c>
      <c r="C17" s="96">
        <f>$B$2*9.9/1000</f>
        <v>0.0099</v>
      </c>
      <c r="D17" s="82">
        <f t="shared" si="8"/>
        <v>1.7010309278350515</v>
      </c>
      <c r="E17" s="82"/>
      <c r="G17" s="74">
        <f t="shared" si="7"/>
        <v>0.6</v>
      </c>
      <c r="H17" s="74">
        <f t="shared" si="9"/>
        <v>1.7010309278350515</v>
      </c>
      <c r="K17" s="77">
        <f t="shared" si="10"/>
        <v>1.7666666666666666</v>
      </c>
      <c r="N17" s="77">
        <f t="shared" si="11"/>
        <v>-0.04999999999999993</v>
      </c>
    </row>
    <row r="18" spans="1:14" ht="12.75">
      <c r="A18">
        <v>0.0204</v>
      </c>
      <c r="B18" s="83">
        <f>$B$2*0.0347</f>
        <v>0.0347</v>
      </c>
      <c r="C18" s="96">
        <f>$B$2*51/1000</f>
        <v>0.051</v>
      </c>
      <c r="D18" s="82">
        <f t="shared" si="8"/>
        <v>1.7009803921568627</v>
      </c>
      <c r="E18" s="82"/>
      <c r="G18" s="74">
        <f t="shared" si="7"/>
        <v>1.4697406340057635</v>
      </c>
      <c r="H18" s="74">
        <f t="shared" si="9"/>
        <v>1.7009803921568627</v>
      </c>
      <c r="K18" s="77">
        <f t="shared" si="10"/>
        <v>-0.2785314308474496</v>
      </c>
      <c r="N18" s="77">
        <f t="shared" si="11"/>
        <v>-0.4177971462711745</v>
      </c>
    </row>
    <row r="19" spans="1:14" ht="12.75">
      <c r="A19">
        <v>0.0021</v>
      </c>
      <c r="B19" s="83">
        <f>$B$2*0.0036</f>
        <v>0.0036</v>
      </c>
      <c r="C19" s="96">
        <f>$B$2*16/1000</f>
        <v>0.016</v>
      </c>
      <c r="D19" s="82">
        <f t="shared" si="8"/>
        <v>1.7142857142857144</v>
      </c>
      <c r="E19" s="82"/>
      <c r="G19" s="74">
        <f t="shared" si="7"/>
        <v>4.444444444444445</v>
      </c>
      <c r="H19" s="74">
        <f t="shared" si="9"/>
        <v>1.7142857142857144</v>
      </c>
      <c r="K19" s="77">
        <f t="shared" si="10"/>
        <v>0.047930283224400405</v>
      </c>
      <c r="N19" s="77">
        <f t="shared" si="11"/>
        <v>0</v>
      </c>
    </row>
    <row r="20" spans="1:14" ht="12.75">
      <c r="A20">
        <v>0.0028</v>
      </c>
      <c r="B20" s="83">
        <f>$B$2*0.0047</f>
        <v>0.0047</v>
      </c>
      <c r="C20" s="96">
        <f>$B$2*1.7/1000</f>
        <v>0.0017</v>
      </c>
      <c r="D20" s="82">
        <f t="shared" si="8"/>
        <v>1.6785714285714286</v>
      </c>
      <c r="E20" s="82"/>
      <c r="G20" s="74">
        <f t="shared" si="7"/>
        <v>0.36170212765957444</v>
      </c>
      <c r="H20" s="74">
        <f t="shared" si="9"/>
        <v>1.6785714285714286</v>
      </c>
      <c r="K20" s="77">
        <f t="shared" si="10"/>
        <v>-0.006451134736491448</v>
      </c>
      <c r="N20" s="77">
        <f t="shared" si="11"/>
        <v>-0.007397066846378475</v>
      </c>
    </row>
    <row r="21" spans="1:14" ht="12.75">
      <c r="A21">
        <v>0.0008</v>
      </c>
      <c r="B21" s="83">
        <f>$B$2*0.001</f>
        <v>0.001</v>
      </c>
      <c r="C21" s="96">
        <f>$B$2*1.6/1000</f>
        <v>0.0016</v>
      </c>
      <c r="D21" s="82">
        <f t="shared" si="8"/>
        <v>1.25</v>
      </c>
      <c r="E21" s="82"/>
      <c r="G21" s="74">
        <f t="shared" si="7"/>
        <v>1.6</v>
      </c>
      <c r="H21" s="74">
        <f t="shared" si="9"/>
        <v>1.25</v>
      </c>
      <c r="K21" s="77">
        <f t="shared" si="10"/>
        <v>-0.03333333333333366</v>
      </c>
      <c r="N21" s="77">
        <f t="shared" si="11"/>
        <v>-0.050000000000000266</v>
      </c>
    </row>
    <row r="22" spans="1:14" ht="13.5" thickBot="1">
      <c r="A22">
        <v>0.0004</v>
      </c>
      <c r="B22" s="84">
        <f>$B$2*0.0007</f>
        <v>0.0007</v>
      </c>
      <c r="C22" s="97">
        <f>$B$2*0.8/1000</f>
        <v>0.0008</v>
      </c>
      <c r="D22" s="82">
        <f t="shared" si="8"/>
        <v>1.75</v>
      </c>
      <c r="E22" s="82"/>
      <c r="G22" s="74">
        <f t="shared" si="7"/>
        <v>1.142857142857143</v>
      </c>
      <c r="H22" s="74">
        <f t="shared" si="9"/>
        <v>1.75</v>
      </c>
      <c r="K22" s="77">
        <f t="shared" si="10"/>
        <v>-0.09523809523809534</v>
      </c>
      <c r="N22" s="77">
        <f t="shared" si="11"/>
        <v>-0.0714285714285714</v>
      </c>
    </row>
    <row r="25" ht="13.5" thickBot="1"/>
    <row r="26" spans="1:11" ht="12.75">
      <c r="A26">
        <v>0.15</v>
      </c>
      <c r="B26" s="81">
        <f>$B$2*0.255</f>
        <v>0.255</v>
      </c>
      <c r="C26" s="95">
        <f>$B$2*345/1000</f>
        <v>0.345</v>
      </c>
      <c r="D26" s="82"/>
      <c r="E26" s="82"/>
      <c r="G26" s="74">
        <f aca="true" t="shared" si="12" ref="G26:G33">C26/B26</f>
        <v>1.352941176470588</v>
      </c>
      <c r="H26" s="74">
        <f>B26/A26</f>
        <v>1.7000000000000002</v>
      </c>
      <c r="K26" s="77">
        <f>I4-G26</f>
        <v>0.0008228784780432985</v>
      </c>
    </row>
    <row r="27" spans="1:11" ht="12.75">
      <c r="A27">
        <v>0.325</v>
      </c>
      <c r="B27" s="83">
        <f>$B$2*0.527</f>
        <v>0.527</v>
      </c>
      <c r="C27" s="96">
        <f>$B$2*171.275/1000</f>
        <v>0.171275</v>
      </c>
      <c r="D27" s="82"/>
      <c r="E27" s="82"/>
      <c r="G27" s="74">
        <f t="shared" si="12"/>
        <v>0.325</v>
      </c>
      <c r="H27" s="74">
        <f aca="true" t="shared" si="13" ref="H27:H33">B27/A27</f>
        <v>1.6215384615384616</v>
      </c>
      <c r="K27" s="77">
        <f aca="true" t="shared" si="14" ref="K27:K33">I5-G27</f>
        <v>0.43075129357298475</v>
      </c>
    </row>
    <row r="28" spans="1:11" ht="12.75">
      <c r="A28">
        <v>0.0006</v>
      </c>
      <c r="B28" s="83">
        <f>$B$2*0.001</f>
        <v>0.001</v>
      </c>
      <c r="C28" s="96">
        <f>$B$2*6/1000</f>
        <v>0.006</v>
      </c>
      <c r="D28" s="82"/>
      <c r="E28" s="82"/>
      <c r="G28" s="74">
        <f t="shared" si="12"/>
        <v>6</v>
      </c>
      <c r="H28" s="74">
        <f t="shared" si="13"/>
        <v>1.6666666666666667</v>
      </c>
      <c r="K28" s="77">
        <f t="shared" si="14"/>
        <v>-3.6333333333333333</v>
      </c>
    </row>
    <row r="29" spans="1:11" ht="12.75">
      <c r="A29">
        <v>0.0204</v>
      </c>
      <c r="B29" s="83">
        <f>$B$2*0.0347</f>
        <v>0.0347</v>
      </c>
      <c r="C29" s="96">
        <f>$B$2*51/1000</f>
        <v>0.051</v>
      </c>
      <c r="D29" s="82"/>
      <c r="E29" s="82"/>
      <c r="G29" s="74">
        <f t="shared" si="12"/>
        <v>1.4697406340057635</v>
      </c>
      <c r="H29" s="74">
        <f t="shared" si="13"/>
        <v>1.7009803921568627</v>
      </c>
      <c r="K29" s="77">
        <f t="shared" si="14"/>
        <v>-0.2785314308474496</v>
      </c>
    </row>
    <row r="30" spans="1:11" ht="12.75">
      <c r="A30">
        <v>0.001</v>
      </c>
      <c r="B30" s="83">
        <f>$B$2*0.0017</f>
        <v>0.0017</v>
      </c>
      <c r="C30" s="96">
        <f>$B$2*7.8/1000</f>
        <v>0.0078</v>
      </c>
      <c r="D30" s="82"/>
      <c r="E30" s="82"/>
      <c r="G30" s="74">
        <f t="shared" si="12"/>
        <v>4.588235294117647</v>
      </c>
      <c r="H30" s="74">
        <f t="shared" si="13"/>
        <v>1.7</v>
      </c>
      <c r="K30" s="77">
        <f t="shared" si="14"/>
        <v>-0.0958605664488017</v>
      </c>
    </row>
    <row r="31" spans="1:11" ht="12.75">
      <c r="A31">
        <v>0.038</v>
      </c>
      <c r="B31" s="83">
        <f>$B$2*0.0644</f>
        <v>0.0644</v>
      </c>
      <c r="C31" s="96">
        <f>$B$2*23/1000</f>
        <v>0.023</v>
      </c>
      <c r="D31" s="82"/>
      <c r="E31" s="82"/>
      <c r="G31" s="74">
        <f t="shared" si="12"/>
        <v>0.35714285714285715</v>
      </c>
      <c r="H31" s="74">
        <f t="shared" si="13"/>
        <v>1.694736842105263</v>
      </c>
      <c r="K31" s="77">
        <f t="shared" si="14"/>
        <v>-0.0018918642197741642</v>
      </c>
    </row>
    <row r="32" spans="1:11" ht="12.75">
      <c r="A32">
        <v>0.0003</v>
      </c>
      <c r="B32" s="83">
        <f>$B$2*0.0005</f>
        <v>0.0005</v>
      </c>
      <c r="C32" s="96">
        <f>$B$2*0.8/1000</f>
        <v>0.0008</v>
      </c>
      <c r="D32" s="82"/>
      <c r="E32" s="82"/>
      <c r="G32" s="74">
        <f t="shared" si="12"/>
        <v>1.6</v>
      </c>
      <c r="H32" s="74">
        <f t="shared" si="13"/>
        <v>1.6666666666666667</v>
      </c>
      <c r="K32" s="77">
        <f t="shared" si="14"/>
        <v>-0.03333333333333366</v>
      </c>
    </row>
    <row r="33" spans="1:11" ht="13.5" thickBot="1">
      <c r="A33">
        <v>0.0002</v>
      </c>
      <c r="B33" s="84">
        <f>$B$2*0.0004</f>
        <v>0.0004</v>
      </c>
      <c r="C33" s="97">
        <f>$B$2*0.4/1000</f>
        <v>0.0004</v>
      </c>
      <c r="D33" s="82"/>
      <c r="E33" s="82"/>
      <c r="G33" s="74">
        <f t="shared" si="12"/>
        <v>1</v>
      </c>
      <c r="H33" s="74">
        <f t="shared" si="13"/>
        <v>2</v>
      </c>
      <c r="K33" s="77">
        <f t="shared" si="14"/>
        <v>0.04761904761904767</v>
      </c>
    </row>
    <row r="36" spans="1:11" ht="13.5" thickBot="1">
      <c r="A36" s="75"/>
      <c r="B36" s="76"/>
      <c r="D36"/>
      <c r="E36"/>
      <c r="F36" s="74"/>
      <c r="G36"/>
      <c r="I36" s="77"/>
      <c r="J36" s="77"/>
      <c r="K36"/>
    </row>
    <row r="37" spans="1:13" ht="12.75">
      <c r="A37" s="85"/>
      <c r="B37" s="86">
        <f>L37</f>
        <v>0.026047</v>
      </c>
      <c r="C37" s="98">
        <f>M37</f>
        <v>0.036464</v>
      </c>
      <c r="D37" s="87"/>
      <c r="E37" s="87"/>
      <c r="F37" s="74"/>
      <c r="G37" s="74">
        <f>C37/B37</f>
        <v>1.3999308941528776</v>
      </c>
      <c r="I37" s="77"/>
      <c r="J37" s="77"/>
      <c r="K37"/>
      <c r="L37" s="88">
        <f>$A$43*0.026047</f>
        <v>0.026047</v>
      </c>
      <c r="M37" s="89">
        <f>$A$43*0.036464</f>
        <v>0.036464</v>
      </c>
    </row>
    <row r="38" spans="1:13" ht="12.75">
      <c r="A38" s="85"/>
      <c r="B38" s="86">
        <f aca="true" t="shared" si="15" ref="B38:C46">L38</f>
        <v>0.0407004</v>
      </c>
      <c r="C38" s="98">
        <f t="shared" si="15"/>
        <v>0.036634</v>
      </c>
      <c r="D38" s="87"/>
      <c r="E38" s="87"/>
      <c r="F38" s="74"/>
      <c r="G38" s="74">
        <f aca="true" t="shared" si="16" ref="G38:G46">C38/B38</f>
        <v>0.9000894340104766</v>
      </c>
      <c r="I38" s="77"/>
      <c r="J38" s="77"/>
      <c r="K38"/>
      <c r="L38" s="90">
        <f>$A$43*0.0407004</f>
        <v>0.0407004</v>
      </c>
      <c r="M38" s="91">
        <f>$A$43*0.036634</f>
        <v>0.036634</v>
      </c>
    </row>
    <row r="39" spans="1:13" ht="12.75">
      <c r="A39" s="85"/>
      <c r="B39" s="86">
        <f t="shared" si="15"/>
        <v>0.000778</v>
      </c>
      <c r="C39" s="98">
        <f t="shared" si="15"/>
        <v>0.000314</v>
      </c>
      <c r="D39" s="87"/>
      <c r="E39" s="87"/>
      <c r="F39" s="74"/>
      <c r="G39" s="74">
        <f t="shared" si="16"/>
        <v>0.403598971722365</v>
      </c>
      <c r="I39" s="77"/>
      <c r="J39" s="77"/>
      <c r="K39"/>
      <c r="L39" s="90">
        <f>$A$43*0.000778</f>
        <v>0.000778</v>
      </c>
      <c r="M39" s="91">
        <f>$A$43*0.000314</f>
        <v>0.000314</v>
      </c>
    </row>
    <row r="40" spans="1:13" ht="12.75">
      <c r="A40" s="85"/>
      <c r="B40" s="86">
        <f t="shared" si="15"/>
        <v>0.00972</v>
      </c>
      <c r="C40" s="98">
        <f t="shared" si="15"/>
        <v>0.003927</v>
      </c>
      <c r="D40" s="87"/>
      <c r="E40" s="87"/>
      <c r="F40" s="74"/>
      <c r="G40" s="74">
        <f t="shared" si="16"/>
        <v>0.40401234567901234</v>
      </c>
      <c r="I40" s="77"/>
      <c r="J40" s="77"/>
      <c r="K40"/>
      <c r="L40" s="90">
        <f>$A$43*0.00972</f>
        <v>0.00972</v>
      </c>
      <c r="M40" s="91">
        <f>$A$43*0.003927</f>
        <v>0.003927</v>
      </c>
    </row>
    <row r="41" spans="1:13" ht="12.75">
      <c r="A41" s="85"/>
      <c r="B41" s="86">
        <f t="shared" si="15"/>
        <v>0.001799</v>
      </c>
      <c r="C41" s="98">
        <f t="shared" si="15"/>
        <v>0.000648</v>
      </c>
      <c r="D41" s="87"/>
      <c r="E41" s="87"/>
      <c r="F41" s="74"/>
      <c r="G41" s="74">
        <f t="shared" si="16"/>
        <v>0.3602001111728738</v>
      </c>
      <c r="I41" s="77"/>
      <c r="J41" s="77"/>
      <c r="K41"/>
      <c r="L41" s="90">
        <f>$A$43*0.001799</f>
        <v>0.001799</v>
      </c>
      <c r="M41" s="91">
        <f>$A$43*0.000648</f>
        <v>0.000648</v>
      </c>
    </row>
    <row r="42" spans="1:13" ht="12.75">
      <c r="A42" s="85"/>
      <c r="B42" s="86">
        <f t="shared" si="15"/>
        <v>0.014487</v>
      </c>
      <c r="C42" s="98">
        <f t="shared" si="15"/>
        <v>0.003622</v>
      </c>
      <c r="D42" s="87"/>
      <c r="E42" s="87"/>
      <c r="F42" s="74"/>
      <c r="G42" s="74">
        <f t="shared" si="16"/>
        <v>0.2500172568509698</v>
      </c>
      <c r="I42" s="77"/>
      <c r="J42" s="77"/>
      <c r="K42"/>
      <c r="L42" s="90">
        <f>$A$43*0.014487</f>
        <v>0.014487</v>
      </c>
      <c r="M42" s="91">
        <f>$A$43*0.003622</f>
        <v>0.003622</v>
      </c>
    </row>
    <row r="43" spans="1:13" ht="12.75">
      <c r="A43" s="85">
        <v>1</v>
      </c>
      <c r="B43" s="86">
        <f t="shared" si="15"/>
        <v>0</v>
      </c>
      <c r="C43" s="98">
        <f t="shared" si="15"/>
        <v>0</v>
      </c>
      <c r="D43" s="87"/>
      <c r="E43" s="87"/>
      <c r="F43" s="74"/>
      <c r="G43" s="78">
        <f>M10</f>
        <v>1.5499999999999998</v>
      </c>
      <c r="I43" s="77"/>
      <c r="J43" s="77"/>
      <c r="K43"/>
      <c r="L43" s="90">
        <v>0</v>
      </c>
      <c r="M43" s="91">
        <v>0</v>
      </c>
    </row>
    <row r="44" spans="1:13" ht="12.75">
      <c r="A44" s="85"/>
      <c r="B44" s="86">
        <f t="shared" si="15"/>
        <v>0.010354</v>
      </c>
      <c r="C44" s="98">
        <f t="shared" si="15"/>
        <v>0.001584</v>
      </c>
      <c r="D44" s="87"/>
      <c r="E44" s="87"/>
      <c r="F44" s="74"/>
      <c r="G44" s="74">
        <f t="shared" si="16"/>
        <v>0.15298435387289935</v>
      </c>
      <c r="I44" s="77"/>
      <c r="J44" s="77"/>
      <c r="K44"/>
      <c r="L44" s="90">
        <f>$A$43*0.010354</f>
        <v>0.010354</v>
      </c>
      <c r="M44" s="91">
        <f>$A$43*0.001584</f>
        <v>0.001584</v>
      </c>
    </row>
    <row r="45" spans="1:13" ht="12.75">
      <c r="A45" s="85"/>
      <c r="B45" s="86">
        <f t="shared" si="15"/>
        <v>0.011875</v>
      </c>
      <c r="C45" s="98">
        <f t="shared" si="15"/>
        <v>0.000831</v>
      </c>
      <c r="D45" s="87"/>
      <c r="E45" s="87"/>
      <c r="F45" s="74"/>
      <c r="G45" s="74">
        <f t="shared" si="16"/>
        <v>0.06997894736842106</v>
      </c>
      <c r="I45" s="77"/>
      <c r="J45" s="77"/>
      <c r="K45"/>
      <c r="L45" s="90">
        <f>$A$43*0.011875</f>
        <v>0.011875</v>
      </c>
      <c r="M45" s="91">
        <f>$A$43*0.000831</f>
        <v>0.000831</v>
      </c>
    </row>
    <row r="46" spans="1:13" ht="13.5" thickBot="1">
      <c r="A46" s="85"/>
      <c r="B46" s="86">
        <f t="shared" si="15"/>
        <v>0.002186</v>
      </c>
      <c r="C46" s="98">
        <f t="shared" si="15"/>
        <v>0.00011</v>
      </c>
      <c r="D46" s="87"/>
      <c r="E46" s="87"/>
      <c r="F46" s="74"/>
      <c r="G46" s="74">
        <f t="shared" si="16"/>
        <v>0.050320219579139985</v>
      </c>
      <c r="I46" s="77"/>
      <c r="J46" s="77"/>
      <c r="K46"/>
      <c r="L46" s="92">
        <f>$A$43*0.002186</f>
        <v>0.002186</v>
      </c>
      <c r="M46" s="93">
        <f>$A$43*0.00011</f>
        <v>0.00011</v>
      </c>
    </row>
    <row r="47" spans="1:11" ht="12.75">
      <c r="A47" s="75"/>
      <c r="B47" s="76"/>
      <c r="D47"/>
      <c r="E47"/>
      <c r="F47" s="74"/>
      <c r="G47"/>
      <c r="I47" s="77"/>
      <c r="J47" s="77"/>
      <c r="K47"/>
    </row>
    <row r="48" spans="1:11" ht="12.75">
      <c r="A48" s="75"/>
      <c r="B48" s="76"/>
      <c r="D48"/>
      <c r="E48"/>
      <c r="F48" s="74"/>
      <c r="G48"/>
      <c r="I48" s="77"/>
      <c r="J48" s="77"/>
      <c r="K48"/>
    </row>
    <row r="49" spans="1:11" ht="12.75">
      <c r="A49" s="75"/>
      <c r="B49" s="76"/>
      <c r="D49"/>
      <c r="E49"/>
      <c r="F49" s="74"/>
      <c r="G49"/>
      <c r="I49" s="77"/>
      <c r="J49" s="77"/>
      <c r="K49"/>
    </row>
    <row r="50" spans="1:11" ht="12.75">
      <c r="A50" s="75"/>
      <c r="B50" s="76"/>
      <c r="D50"/>
      <c r="E50"/>
      <c r="F50" s="74"/>
      <c r="G50"/>
      <c r="I50" s="77"/>
      <c r="J50" s="77"/>
      <c r="K50"/>
    </row>
    <row r="51" spans="1:11" ht="12.75">
      <c r="A51" s="75"/>
      <c r="B51" s="76"/>
      <c r="D51"/>
      <c r="E51"/>
      <c r="F51" s="74"/>
      <c r="G51"/>
      <c r="I51" s="77"/>
      <c r="J51" s="77"/>
      <c r="K51"/>
    </row>
    <row r="54" spans="8:11" ht="12.75">
      <c r="H54">
        <v>0.309</v>
      </c>
      <c r="I54">
        <v>0.5253</v>
      </c>
      <c r="J54">
        <v>0.5253</v>
      </c>
      <c r="K54" s="77">
        <f>H54/I54</f>
        <v>0.5882352941176471</v>
      </c>
    </row>
    <row r="55" spans="8:11" ht="12.75">
      <c r="H55">
        <v>0.225</v>
      </c>
      <c r="I55">
        <v>0.3825</v>
      </c>
      <c r="J55">
        <v>0.3825</v>
      </c>
      <c r="K55" s="77">
        <f aca="true" t="shared" si="17" ref="K55:K61">H55/I55</f>
        <v>0.5882352941176471</v>
      </c>
    </row>
    <row r="56" spans="8:11" ht="12.75">
      <c r="H56">
        <v>0.009</v>
      </c>
      <c r="I56">
        <v>0.0153</v>
      </c>
      <c r="J56">
        <v>0.0153</v>
      </c>
      <c r="K56" s="77">
        <f t="shared" si="17"/>
        <v>0.5882352941176471</v>
      </c>
    </row>
    <row r="57" spans="8:11" ht="12.75">
      <c r="H57">
        <v>0.0204</v>
      </c>
      <c r="I57">
        <v>0.0347</v>
      </c>
      <c r="J57">
        <v>0.0347</v>
      </c>
      <c r="K57" s="77">
        <f t="shared" si="17"/>
        <v>0.5878962536023055</v>
      </c>
    </row>
    <row r="58" spans="8:11" ht="12.75">
      <c r="H58">
        <v>0.0021</v>
      </c>
      <c r="I58">
        <v>0.0036</v>
      </c>
      <c r="J58">
        <v>0.0036</v>
      </c>
      <c r="K58" s="77">
        <f t="shared" si="17"/>
        <v>0.5833333333333333</v>
      </c>
    </row>
    <row r="59" spans="8:11" ht="12.75">
      <c r="H59">
        <v>0.0028</v>
      </c>
      <c r="I59">
        <v>0.0047</v>
      </c>
      <c r="J59">
        <v>0.0047</v>
      </c>
      <c r="K59" s="77">
        <f t="shared" si="17"/>
        <v>0.5957446808510638</v>
      </c>
    </row>
    <row r="60" spans="8:11" ht="12.75">
      <c r="H60">
        <v>0.0008</v>
      </c>
      <c r="I60">
        <v>0.001</v>
      </c>
      <c r="J60">
        <v>0.001</v>
      </c>
      <c r="K60" s="77">
        <f t="shared" si="17"/>
        <v>0.8</v>
      </c>
    </row>
    <row r="61" spans="8:11" ht="12.75">
      <c r="H61">
        <v>0.0004</v>
      </c>
      <c r="I61">
        <v>0.0007</v>
      </c>
      <c r="J61">
        <v>0.0007</v>
      </c>
      <c r="K61" s="77">
        <f t="shared" si="17"/>
        <v>0.5714285714285715</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COL-LEGI APARELLADORS I ARQUITECTES  BCN</dc:creator>
  <cp:keywords/>
  <dc:description/>
  <cp:lastModifiedBy>Marc Martínez</cp:lastModifiedBy>
  <cp:lastPrinted>2018-04-25T14:16:52Z</cp:lastPrinted>
  <dcterms:created xsi:type="dcterms:W3CDTF">2010-06-23T07:32:43Z</dcterms:created>
  <dcterms:modified xsi:type="dcterms:W3CDTF">2018-05-25T13:10:15Z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